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2"/>
  </bookViews>
  <sheets>
    <sheet name="BCDKT" sheetId="1" r:id="rId1"/>
    <sheet name="KQKD" sheetId="2" r:id="rId2"/>
    <sheet name="Thuyet minh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<sst xmlns="http://schemas.openxmlformats.org/spreadsheetml/2006/main" count="390" uniqueCount="350">
  <si>
    <t>C«ng ty cæ phÇn kho¸ng s¶n b¾c k¹n</t>
  </si>
  <si>
    <t xml:space="preserve">                                           B¶ng c©n ®èi kÕ to¸n</t>
  </si>
  <si>
    <t>Quý I/ 2009</t>
  </si>
  <si>
    <t xml:space="preserve">    §¬n vÞ tÝnh: VND</t>
  </si>
  <si>
    <t>Tµi s¶n</t>
  </si>
  <si>
    <t>M· sè</t>
  </si>
  <si>
    <t>ThuyÕt minh</t>
  </si>
  <si>
    <t>Sè cuèi kú</t>
  </si>
  <si>
    <t>Sè ®Çu kú</t>
  </si>
  <si>
    <t xml:space="preserve"> A.Tµi s¶n ng¾n h¹n                                          (100 = 110+120+130+140+150)</t>
  </si>
  <si>
    <t>100</t>
  </si>
  <si>
    <t>I. TiÒn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</si>
  <si>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</si>
  <si>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</si>
  <si>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</si>
  <si>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</si>
  <si>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</si>
  <si>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</si>
  <si>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</si>
  <si>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</si>
  <si>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</si>
  <si>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</si>
  <si>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</si>
  <si>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</si>
  <si>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</si>
  <si>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</si>
  <si>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</si>
  <si>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</si>
  <si>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</si>
  <si>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</si>
  <si>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</si>
  <si>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</si>
  <si>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</si>
  <si>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138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</si>
  <si>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</si>
  <si>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</si>
  <si>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</si>
  <si>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</si>
  <si>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</si>
  <si>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</si>
  <si>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</si>
  <si>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</si>
  <si>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</si>
  <si>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</si>
  <si>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</si>
  <si>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</si>
  <si>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</si>
  <si>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</si>
  <si>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4.Tµi s¶n ng¾n h¹n kh¸c</t>
  </si>
  <si>
    <t xml:space="preserve"> B. Tµi s¶n  dµi h¹n                                             (200 = 210 + 220 + 240 + 250 + 260)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</si>
  <si>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</si>
  <si>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</si>
  <si>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</si>
  <si>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</si>
  <si>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</si>
  <si>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</si>
  <si>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</si>
  <si>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</si>
  <si>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4.Dù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</si>
  <si>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</si>
  <si>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</si>
  <si>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</si>
  <si>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</si>
  <si>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</si>
  <si>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</si>
  <si>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</si>
  <si>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</si>
  <si>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</si>
  <si>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</si>
  <si>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</si>
  <si>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</si>
  <si>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</si>
  <si>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</si>
  <si>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</si>
  <si>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</si>
  <si>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</si>
  <si>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</si>
  <si>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</si>
  <si>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</si>
  <si>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</si>
  <si>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</si>
  <si>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</si>
  <si>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</si>
  <si>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</si>
  <si>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</si>
  <si>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Tæng céng tµi s¶n (270 = 100 + 200)</t>
  </si>
  <si>
    <t>Nguån vèn</t>
  </si>
  <si>
    <t>A . Nî ph¶i tr¶ (300 = 300 +320 )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</si>
  <si>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</si>
  <si>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</si>
  <si>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</si>
  <si>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</si>
  <si>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</si>
  <si>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</si>
  <si>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</si>
  <si>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</si>
  <si>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</si>
  <si>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</si>
  <si>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</si>
  <si>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</si>
  <si>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</si>
  <si>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</si>
  <si>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</si>
  <si>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</si>
  <si>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</si>
  <si>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 10. Dù phßng ph¶i tr¶ ng¾n h¹n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</si>
  <si>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</si>
  <si>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</si>
  <si>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</si>
  <si>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</si>
  <si>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</si>
  <si>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</si>
  <si>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</si>
  <si>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</si>
  <si>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</si>
  <si>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</si>
  <si>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>B . vèn chñ së h÷u  (400=410 + 430)</t>
  </si>
  <si>
    <t>400</t>
  </si>
  <si>
    <t>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</si>
  <si>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</si>
  <si>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</si>
  <si>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</si>
  <si>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</si>
  <si>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</si>
  <si>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</si>
  <si>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</si>
  <si>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</si>
  <si>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</si>
  <si>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</si>
  <si>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</si>
  <si>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</si>
  <si>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ch­a ph©n phèi</t>
  </si>
  <si>
    <t xml:space="preserve">    11. Nguån vèn ®Çu t­ XDCB</t>
  </si>
  <si>
    <t>II. Nguån kinh phÝ, quü kh¸c</t>
  </si>
  <si>
    <t xml:space="preserve">  1. Quü khen th­ëng, phóc lîi</t>
  </si>
  <si>
    <t xml:space="preserve">   2. Nguån kinh phÝ </t>
  </si>
  <si>
    <t>V.23</t>
  </si>
  <si>
    <t xml:space="preserve">   3. Nguån kinh phÝ ®· h×nh thµnh tµi s¶n cè ®Þnh</t>
  </si>
  <si>
    <t>Tæng céng nguån vèn                                 (430 = 300 +400)</t>
  </si>
  <si>
    <t xml:space="preserve">       Ng­êi lËp biÓu                                KÕ to¸n tr­ëng</t>
  </si>
  <si>
    <t xml:space="preserve">                     Gi¸m ®èc</t>
  </si>
  <si>
    <t xml:space="preserve">                TrÇn ThÞ YÕn                         NguyÔn ThÞ Xu©n H­êng                           Mai V¨n B¶n</t>
  </si>
  <si>
    <t xml:space="preserve">      C«ng ty cæ phÇn kho¸ng s¶n B¾c K¹n</t>
  </si>
  <si>
    <t>B¸o c¸o KÕt qu¶ ho¹t ®éng kinh doanh</t>
  </si>
  <si>
    <t>PhÇn I - L·i, lç</t>
  </si>
  <si>
    <t xml:space="preserve">                                 §¬n vÞ tÝnh : VND</t>
  </si>
  <si>
    <t>ChØ tiªu</t>
  </si>
  <si>
    <t>Quý I /2009</t>
  </si>
  <si>
    <t>Quý I /2008</t>
  </si>
  <si>
    <t>Doanh thu b¸n hµng ho¸ vµ cung cÊp dÞch vô</t>
  </si>
  <si>
    <t>01</t>
  </si>
  <si>
    <t>Trong ®ã : doanh thu hµng xuÊt khÈu</t>
  </si>
  <si>
    <t>02</t>
  </si>
  <si>
    <t>- C¸c kho¶n gi¶m trõ (03 = 04+05+06+07)</t>
  </si>
  <si>
    <t>03</t>
  </si>
  <si>
    <t>+ ChiÕt khÊu th­¬ng m¹i</t>
  </si>
  <si>
    <t>04</t>
  </si>
  <si>
    <t>+ Hµng b¸n bÞ tr¶ l¹i</t>
  </si>
  <si>
    <t>05</t>
  </si>
  <si>
    <t>+ ThuÕ tiªu thô ®Æc biÖt</t>
  </si>
  <si>
    <t>06</t>
  </si>
  <si>
    <t>+ ThuÕ xuÊt khÈu ph¶i nép</t>
  </si>
  <si>
    <t>07</t>
  </si>
  <si>
    <t>1. Doanh thu thuÇn vÒ b¸n hµng vµ cung cÊp dÞch vô (10=01- 03)</t>
  </si>
  <si>
    <t>10</t>
  </si>
  <si>
    <t>2. Gi¸ vèn hµng b¸n</t>
  </si>
  <si>
    <t>11</t>
  </si>
  <si>
    <t>3. Lîi nhuËn gép vÒ b¸n hµng vµ cung cÊp dÞch vô (20=10-11)</t>
  </si>
  <si>
    <t>20</t>
  </si>
  <si>
    <t>4. Doanh thu ho¹t ®éng tµi chÝnh</t>
  </si>
  <si>
    <t>21</t>
  </si>
  <si>
    <t>5. Chi phÝ tµi chÝnh</t>
  </si>
  <si>
    <t>22</t>
  </si>
  <si>
    <t>Trong ®ã : L·i vay ph¶i tr¶</t>
  </si>
  <si>
    <t>23</t>
  </si>
  <si>
    <t>6. Chi phÝ b¸n hµng</t>
  </si>
  <si>
    <t>24</t>
  </si>
  <si>
    <t>7. Chi phÝ qu¶n lý doanh nghiÖp</t>
  </si>
  <si>
    <t>25</t>
  </si>
  <si>
    <t xml:space="preserve">8. Lîi nhuËn thuÇn tõ ho¹t ®éng kinh doanh </t>
  </si>
  <si>
    <t>30</t>
  </si>
  <si>
    <t xml:space="preserve"> {30 = 20+(21-22)-(24+25)}</t>
  </si>
  <si>
    <t>9. Thu nhËp kh¸c</t>
  </si>
  <si>
    <t>31</t>
  </si>
  <si>
    <t>10. Chi phÝ kh¸c</t>
  </si>
  <si>
    <t>11. Lîi nhuËn kh¸c (40=31-32)</t>
  </si>
  <si>
    <t>40</t>
  </si>
  <si>
    <t>12. Tæng lîi nhuËn tr­íc thuÕ (50=30+40)</t>
  </si>
  <si>
    <t>50</t>
  </si>
  <si>
    <t xml:space="preserve">13. ThuÕ thu nhËp doanh nghiÖp ph¶i nép </t>
  </si>
  <si>
    <t>51</t>
  </si>
  <si>
    <t>14. Lîi nhuËn sau thuÕ (60=50-51)</t>
  </si>
  <si>
    <t>60</t>
  </si>
  <si>
    <t xml:space="preserve">    Ng­êi lËp biÓu                                 KÕ to¸n tr­ëng</t>
  </si>
  <si>
    <t>Gi¸m ®èc</t>
  </si>
  <si>
    <t xml:space="preserve">    TrÇn ThÞ YÕn                            NguyÔn ThÞ Xu©n H­êng</t>
  </si>
  <si>
    <t>Mai V¨n B¶n</t>
  </si>
  <si>
    <t>§Çu kú</t>
  </si>
  <si>
    <t>§¬n vÞ tÝnh: VND</t>
  </si>
  <si>
    <t>Quý I/2009</t>
  </si>
  <si>
    <t>Quý I/2008</t>
  </si>
  <si>
    <t>Tæng</t>
  </si>
  <si>
    <t xml:space="preserve">  C«ng ty cæ phÇn  kho¸ng s¶n b¾c K¹n </t>
  </si>
  <si>
    <t>ThuyÕt minh b¸o c¸o tµi chÝnh</t>
  </si>
  <si>
    <t>quý I/2009</t>
  </si>
  <si>
    <t xml:space="preserve"> I. §Æc ®iÓm ho¹t ®éng cña doanh nghiÖp:</t>
  </si>
  <si>
    <t xml:space="preserve"> 1. H×nh thøc së h÷u vèn: Nhµ n­íc 46,26% vµ c¸c cæ ®«ng 53,74%.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</si>
  <si>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</si>
  <si>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</si>
  <si>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</si>
  <si>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</si>
  <si>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</si>
  <si>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>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</si>
  <si>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</si>
  <si>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</si>
  <si>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</si>
  <si>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>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</si>
  <si>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</si>
  <si>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</si>
  <si>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</si>
  <si>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chi phÝ mua, chi phÝ khai th¸c,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</si>
  <si>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</si>
  <si>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</si>
  <si>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</si>
  <si>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</si>
  <si>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</si>
  <si>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(Q§ 206 /2003/ 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</si>
  <si>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</si>
  <si>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</si>
  <si>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</si>
  <si>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</si>
  <si>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</si>
  <si>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</si>
  <si>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</si>
  <si>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1 - TiÒn vµ c¸c kho¶n t­¬ng ®­¬ng tiÒn</t>
  </si>
  <si>
    <t xml:space="preserve">  - TiÒn mÆt </t>
  </si>
  <si>
    <t xml:space="preserve">  - TiÒn göi ng©n hµng </t>
  </si>
  <si>
    <t xml:space="preserve">  - TiÒn ®ang chuyÓn</t>
  </si>
  <si>
    <t>Céng</t>
  </si>
  <si>
    <t>3 - C¸c kho¶n ph¶i thu ng¾n h¹n kh¸c</t>
  </si>
  <si>
    <t xml:space="preserve"> - VËt t­ thiÕu ch­a xö lý CN NM N­íc kho¸ng AVA </t>
  </si>
  <si>
    <t xml:space="preserve"> - Ph¶i thu phßng kinh doanh</t>
  </si>
  <si>
    <t xml:space="preserve"> - Má vµng T©n An</t>
  </si>
  <si>
    <t xml:space="preserve"> - Hoµn thæ Má vµng T©n An</t>
  </si>
  <si>
    <t xml:space="preserve"> - Ph¶i thu Tæng c«ng ty kho¸ng s¶n TKV</t>
  </si>
  <si>
    <t xml:space="preserve"> - Ph¶i thu cña Vakaxi</t>
  </si>
  <si>
    <t xml:space="preserve"> - Ph¶i thu C«ng ty liªn doanh kim lo¹i mµu ViÖt B¾c</t>
  </si>
  <si>
    <t xml:space="preserve"> - Ph¶i thu kh¸c</t>
  </si>
  <si>
    <t>4 - Hµng tån kho</t>
  </si>
  <si>
    <t>Sè cuèi  kú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</si>
  <si>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</si>
  <si>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</si>
  <si>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</si>
  <si>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</si>
  <si>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</si>
  <si>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</si>
  <si>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</si>
  <si>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</si>
  <si>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 xml:space="preserve"> - Dù phßng gi¶m gi¸ hµng tån kho</t>
  </si>
  <si>
    <t xml:space="preserve"> - Gi¸ trÞ thuÇn cã thÓ thùc hiÖn ®­îc</t>
  </si>
  <si>
    <t>5.1 - C¸c kho¶n thuÕ ph¶i thu</t>
  </si>
  <si>
    <t xml:space="preserve"> - ThuÕ GTGT cßn ®­îc khÊu trõ</t>
  </si>
  <si>
    <t>5.2 - Tµi s¶n ng¾n h¹n kh¸c</t>
  </si>
  <si>
    <t>Sè cuèi n¨m</t>
  </si>
  <si>
    <t>Sè ®Çu n¨m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</si>
  <si>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</si>
  <si>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</si>
  <si>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</si>
  <si>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</si>
  <si>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</si>
  <si>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</si>
  <si>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</si>
  <si>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</si>
  <si>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</si>
  <si>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</si>
  <si>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</si>
  <si>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kú</t>
  </si>
  <si>
    <t xml:space="preserve"> -Mua trong n¨m</t>
  </si>
  <si>
    <t xml:space="preserve"> - §Çu t­ XDCB hoµn thµnh</t>
  </si>
  <si>
    <t xml:space="preserve"> - T¨ng do ®iÒu chuyÓn</t>
  </si>
  <si>
    <t xml:space="preserve"> - Gi¶m do ®iÒu chuyÓn</t>
  </si>
  <si>
    <t>Sè d­ cuèi kú</t>
  </si>
  <si>
    <t>Gi¸ trÞ hao mßn luü kÕ</t>
  </si>
  <si>
    <t>Sè d­ ®Çu kú</t>
  </si>
  <si>
    <t xml:space="preserve"> - KhÊu hao trong kú</t>
  </si>
  <si>
    <t>Sè d­ cuèÝ kú</t>
  </si>
  <si>
    <t>Gi¸ trÞ cßn l¹i ®Çu kú</t>
  </si>
  <si>
    <t>Gi¸ trÞ cßn l¹i cuèi kú</t>
  </si>
  <si>
    <t>* Nguyªn gi¸ TSC§ cuèi kú ®· khÊu hao hÕt nh­ng vÉn cßn sö dông:</t>
  </si>
  <si>
    <t xml:space="preserve"> Nguyªn gi¸ tµi s¶n cè ®Þnh v« h×nh</t>
  </si>
  <si>
    <t>QuyÒn khai th¸c</t>
  </si>
  <si>
    <t>PhÇn mÒn m¸y tÝnh</t>
  </si>
  <si>
    <t xml:space="preserve"> - T¨ng trong kú</t>
  </si>
  <si>
    <t xml:space="preserve"> - Gi¶m trong kú</t>
  </si>
  <si>
    <t>11. Chi phÝ x©y dùng c¬ b¶n dë dang</t>
  </si>
  <si>
    <t xml:space="preserve">  - Tæng chi phÝ x©y dùng c¬ b¶n dë dang</t>
  </si>
  <si>
    <t xml:space="preserve">Trong ®ã: </t>
  </si>
  <si>
    <t xml:space="preserve">  +, Nhµ m¸y luyÖn ch×</t>
  </si>
  <si>
    <t xml:space="preserve"> +, Chî B¾c K¹n</t>
  </si>
  <si>
    <t xml:space="preserve"> +, Söa ch÷a XN bét kÏm « xÝt</t>
  </si>
  <si>
    <t xml:space="preserve"> +, X­ëng in phun mê</t>
  </si>
  <si>
    <t xml:space="preserve"> +, Dù ¸n xö lý chÊt th¶i r¾n</t>
  </si>
  <si>
    <t xml:space="preserve"> +, §­êng tr¸nh XN tuyÓn kho¸ng, bét kÏm</t>
  </si>
  <si>
    <t xml:space="preserve"> +, §iÓm má Nµ Duång, Tñm Tã, Nµ Kh¾t</t>
  </si>
  <si>
    <t>13.1 §Çu t­ vµo c«ng ty liªn doanh, liªn kÕt</t>
  </si>
  <si>
    <t xml:space="preserve"> Sè ®Çu kú</t>
  </si>
  <si>
    <t xml:space="preserve"> - Tæng C«ng ty cæ phÇn kho¸ng s¶n luyÖn kim B¾c K¹n</t>
  </si>
  <si>
    <t xml:space="preserve"> - C«ng ty cæ phÇn ®Çu t­ th­¬ng m¹i vµ du lÞch B¾c Th¸i</t>
  </si>
  <si>
    <t xml:space="preserve"> - C«ng ty cæ phÇn kho¸ng s¶n B¾c K¹n Nikko ViÖt Nam</t>
  </si>
  <si>
    <t xml:space="preserve"> - C«ng ty liªn doanh Vakaxi</t>
  </si>
  <si>
    <t xml:space="preserve"> Céng</t>
  </si>
  <si>
    <t>13.2 §Çu t­ dµi h¹n kh¸c</t>
  </si>
  <si>
    <t xml:space="preserve"> - Dù ¸n ®Çu t­ khai th¸c kho¸ng s¶n bªn Lµo</t>
  </si>
  <si>
    <t xml:space="preserve"> - C«ng ty TNHH kÏm Kim B×nh Trung Quèc</t>
  </si>
  <si>
    <t>18. C¸c kho¶n ph¶i tr¶, ph¶i nép kh¸c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</si>
  <si>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</si>
  <si>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</si>
  <si>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</si>
  <si>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Dù ¸n Nectarmo</t>
  </si>
  <si>
    <t xml:space="preserve">   Thï lao ban qu¶n lý ®iÒu hµnh</t>
  </si>
  <si>
    <t xml:space="preserve">  Ph¶i tr¶ tiÒn cæ tøc</t>
  </si>
  <si>
    <t xml:space="preserve">  Ph¶i tr¶ ph¶i C«ng ty liªn doanh kim lo¹i ViÖt B¾c </t>
  </si>
  <si>
    <t xml:space="preserve"> C¸c kho¶n kh¸c</t>
  </si>
  <si>
    <t>22.b Chi tiÕt vèn ®Çu t­ cña chñ së h÷u:</t>
  </si>
  <si>
    <t>Cæ ®«ng</t>
  </si>
  <si>
    <t>Sè vèn gãp ®Õn ngµy 31/03/2009</t>
  </si>
  <si>
    <t>Sè vèn gãp ®Õn ngµy 31/12/2008</t>
  </si>
  <si>
    <t>Sè cæ phÇn</t>
  </si>
  <si>
    <t>Sè tiÒn</t>
  </si>
  <si>
    <t>(%)</t>
  </si>
  <si>
    <t xml:space="preserve"> - Cæ ®«ng s¸ng lËp</t>
  </si>
  <si>
    <t xml:space="preserve">  +, Nhµ N­íc </t>
  </si>
  <si>
    <t xml:space="preserve"> +, C«ng ty cæ phÇn Kim S¬n</t>
  </si>
  <si>
    <t xml:space="preserve"> - Cæ ®«ng kh¸c</t>
  </si>
  <si>
    <t xml:space="preserve">Tæng </t>
  </si>
  <si>
    <t>31. ThuÕ thu nhËp doanh nghiÖp</t>
  </si>
  <si>
    <t xml:space="preserve"> + Tæng thu nhËp chÞu thuÕ</t>
  </si>
  <si>
    <t xml:space="preserve"> + ThuÕ suÊt ThuÕ thu nhËp</t>
  </si>
  <si>
    <t>20%</t>
  </si>
  <si>
    <t xml:space="preserve"> + Chi phÝ thuÕ thu nhËp doanh nghiÖp</t>
  </si>
  <si>
    <t xml:space="preserve"> + ThuÕ thu nhËp doanh nghiÖp ®­îc miÔn gi¶m</t>
  </si>
  <si>
    <t xml:space="preserve"> + ThuÕ thu  nhËp doanh nghiÖp ph¶i nép</t>
  </si>
  <si>
    <t>Ng­êi lËp biÓu</t>
  </si>
  <si>
    <t xml:space="preserve">                            KÕ to¸n tr­ëng</t>
  </si>
  <si>
    <t>TrÇn ThÞ YÕn</t>
  </si>
  <si>
    <t xml:space="preserve">         NguyÔn ThÞ Xu©n H­êng</t>
  </si>
  <si>
    <t xml:space="preserve">    Mai V¨n B¶n</t>
  </si>
  <si>
    <t>B¾c K¹n, ngµy ..30..... th¸ng …04... n¨m 2009</t>
  </si>
  <si>
    <t xml:space="preserve">           B¾c K¹n, ngµy…30.. th¸ng....04... n¨m 2009</t>
  </si>
  <si>
    <t xml:space="preserve">                                                                                                     B¾c K¹n, ngµy ... 30...  th¸ng ….04….    n¨m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</si>
</sst>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  <numFmt numFmtId="165" formatCode="###\ ###\ ###\ ###\ ###"/>
    <numFmt numFmtId="166" formatCode="###\ ###\ ###\ ###"/>
    <numFmt numFmtId="167" formatCode="###,###,###,###,###"/>
  </numFmts>
  <fonts count="28">
    <font>
      <sz val="12"/>
      <name val=".VnTime"/>
      <family val="0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sz val="14"/>
      <color indexed="8"/>
      <name val=".VnTime"/>
      <family val="2"/>
    </font>
    <font>
      <i/>
      <sz val="12"/>
      <color indexed="8"/>
      <name val=".VnArial"/>
      <family val="2"/>
    </font>
    <font>
      <b/>
      <sz val="12"/>
      <color indexed="8"/>
      <name val=".VnTime"/>
      <family val="2"/>
    </font>
    <font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2"/>
      <color indexed="8"/>
      <name val=".VnArial"/>
      <family val="2"/>
    </font>
    <font>
      <b/>
      <sz val="12"/>
      <color indexed="8"/>
      <name val="Arial"/>
      <family val="2"/>
    </font>
    <font>
      <b/>
      <sz val="14"/>
      <color indexed="8"/>
      <name val="MS Sans Serif"/>
      <family val="0"/>
    </font>
    <font>
      <sz val="12"/>
      <color indexed="8"/>
      <name val="MS Sans Serif"/>
      <family val="2"/>
    </font>
    <font>
      <b/>
      <sz val="12"/>
      <color indexed="8"/>
      <name val="MS Sans Serif"/>
      <family val="0"/>
    </font>
    <font>
      <b/>
      <sz val="14"/>
      <color indexed="8"/>
      <name val=".VnTime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.VnTime"/>
      <family val="0"/>
    </font>
    <font>
      <b/>
      <sz val="13"/>
      <name val=".VnTime"/>
      <family val="0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4" fontId="2" fillId="0" borderId="0" xfId="15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1" fontId="2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3" xfId="15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1" fillId="0" borderId="0" xfId="15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 horizontal="left" vertical="center" wrapText="1"/>
    </xf>
    <xf numFmtId="164" fontId="11" fillId="0" borderId="0" xfId="15" applyNumberFormat="1" applyFont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right" vertical="center" wrapText="1"/>
    </xf>
    <xf numFmtId="165" fontId="21" fillId="0" borderId="2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166" fontId="22" fillId="0" borderId="3" xfId="0" applyNumberFormat="1" applyFont="1" applyBorder="1" applyAlignment="1">
      <alignment horizontal="center" vertical="center" wrapText="1"/>
    </xf>
    <xf numFmtId="165" fontId="22" fillId="0" borderId="3" xfId="0" applyNumberFormat="1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vertical="center" wrapText="1"/>
    </xf>
    <xf numFmtId="166" fontId="22" fillId="0" borderId="3" xfId="0" applyNumberFormat="1" applyFont="1" applyBorder="1" applyAlignment="1">
      <alignment horizontal="right" vertical="center" wrapText="1"/>
    </xf>
    <xf numFmtId="166" fontId="21" fillId="0" borderId="3" xfId="0" applyNumberFormat="1" applyFont="1" applyBorder="1" applyAlignment="1">
      <alignment horizontal="right" vertical="center" wrapText="1"/>
    </xf>
    <xf numFmtId="165" fontId="22" fillId="0" borderId="3" xfId="0" applyNumberFormat="1" applyFont="1" applyBorder="1" applyAlignment="1" quotePrefix="1">
      <alignment horizontal="right" vertical="center" wrapText="1"/>
    </xf>
    <xf numFmtId="166" fontId="21" fillId="0" borderId="3" xfId="0" applyNumberFormat="1" applyFont="1" applyBorder="1" applyAlignment="1">
      <alignment horizontal="center" vertical="center" wrapText="1"/>
    </xf>
    <xf numFmtId="37" fontId="22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right" vertical="center" wrapText="1"/>
    </xf>
    <xf numFmtId="49" fontId="20" fillId="0" borderId="5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right" vertical="center" wrapText="1"/>
    </xf>
    <xf numFmtId="165" fontId="21" fillId="0" borderId="5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65" fontId="20" fillId="0" borderId="9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right" vertical="center" wrapText="1"/>
    </xf>
    <xf numFmtId="165" fontId="20" fillId="0" borderId="7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165" fontId="2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66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5" fontId="0" fillId="0" borderId="3" xfId="0" applyNumberFormat="1" applyFon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6" fontId="0" fillId="0" borderId="3" xfId="0" applyNumberFormat="1" applyFont="1" applyBorder="1" applyAlignment="1">
      <alignment vertical="center" wrapText="1"/>
    </xf>
    <xf numFmtId="166" fontId="20" fillId="0" borderId="3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165" fontId="20" fillId="0" borderId="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right" vertical="center" wrapText="1"/>
    </xf>
    <xf numFmtId="165" fontId="0" fillId="0" borderId="14" xfId="0" applyNumberFormat="1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 wrapText="1"/>
    </xf>
    <xf numFmtId="165" fontId="0" fillId="0" borderId="13" xfId="0" applyNumberFormat="1" applyFont="1" applyBorder="1" applyAlignment="1">
      <alignment vertical="center" wrapText="1"/>
    </xf>
    <xf numFmtId="165" fontId="20" fillId="0" borderId="2" xfId="0" applyNumberFormat="1" applyFont="1" applyBorder="1" applyAlignment="1">
      <alignment horizontal="right" vertical="center" wrapText="1"/>
    </xf>
    <xf numFmtId="165" fontId="20" fillId="0" borderId="16" xfId="0" applyNumberFormat="1" applyFont="1" applyBorder="1" applyAlignment="1">
      <alignment vertical="center" wrapText="1"/>
    </xf>
    <xf numFmtId="165" fontId="20" fillId="0" borderId="13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65" fontId="20" fillId="0" borderId="0" xfId="0" applyNumberFormat="1" applyFont="1" applyBorder="1" applyAlignment="1">
      <alignment vertical="center" wrapText="1"/>
    </xf>
    <xf numFmtId="165" fontId="20" fillId="0" borderId="18" xfId="0" applyNumberFormat="1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165" fontId="0" fillId="0" borderId="15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165" fontId="0" fillId="0" borderId="9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165" fontId="19" fillId="0" borderId="14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righ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65" fontId="20" fillId="0" borderId="2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9" fillId="0" borderId="0" xfId="0" applyNumberFormat="1" applyFont="1" applyAlignment="1">
      <alignment horizontal="right" vertical="center" wrapText="1"/>
    </xf>
    <xf numFmtId="49" fontId="16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41" fontId="20" fillId="0" borderId="22" xfId="0" applyNumberFormat="1" applyFont="1" applyBorder="1" applyAlignment="1">
      <alignment horizontal="center" vertical="center" wrapText="1"/>
    </xf>
    <xf numFmtId="41" fontId="20" fillId="0" borderId="10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0" fillId="0" borderId="26" xfId="0" applyNumberFormat="1" applyFont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right" vertical="center" wrapText="1"/>
    </xf>
    <xf numFmtId="165" fontId="20" fillId="0" borderId="29" xfId="0" applyNumberFormat="1" applyFont="1" applyBorder="1" applyAlignment="1">
      <alignment horizontal="left" vertical="center" wrapText="1"/>
    </xf>
    <xf numFmtId="165" fontId="20" fillId="0" borderId="15" xfId="0" applyNumberFormat="1" applyFont="1" applyBorder="1" applyAlignment="1">
      <alignment horizontal="left" vertical="center" wrapText="1"/>
    </xf>
    <xf numFmtId="165" fontId="20" fillId="0" borderId="20" xfId="0" applyNumberFormat="1" applyFont="1" applyBorder="1" applyAlignment="1">
      <alignment horizontal="right" vertical="center" wrapText="1"/>
    </xf>
    <xf numFmtId="165" fontId="20" fillId="0" borderId="29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65" fontId="19" fillId="0" borderId="13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65" fontId="20" fillId="0" borderId="15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165" fontId="20" fillId="0" borderId="31" xfId="0" applyNumberFormat="1" applyFont="1" applyBorder="1" applyAlignment="1">
      <alignment horizontal="center" vertical="center" wrapText="1"/>
    </xf>
    <xf numFmtId="165" fontId="20" fillId="0" borderId="3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right" vertical="center" wrapText="1"/>
    </xf>
    <xf numFmtId="165" fontId="20" fillId="0" borderId="11" xfId="0" applyNumberFormat="1" applyFont="1" applyBorder="1" applyAlignment="1">
      <alignment horizontal="right" vertical="center" wrapText="1"/>
    </xf>
    <xf numFmtId="165" fontId="20" fillId="0" borderId="33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165" fontId="20" fillId="0" borderId="31" xfId="0" applyNumberFormat="1" applyFont="1" applyBorder="1" applyAlignment="1">
      <alignment horizontal="right" vertical="center" wrapText="1"/>
    </xf>
    <xf numFmtId="165" fontId="20" fillId="0" borderId="33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166" fontId="20" fillId="0" borderId="29" xfId="0" applyNumberFormat="1" applyFont="1" applyBorder="1" applyAlignment="1">
      <alignment horizontal="right" vertical="center" wrapText="1"/>
    </xf>
    <xf numFmtId="166" fontId="20" fillId="0" borderId="15" xfId="0" applyNumberFormat="1" applyFont="1" applyBorder="1" applyAlignment="1">
      <alignment horizontal="right" vertical="center" wrapText="1"/>
    </xf>
    <xf numFmtId="166" fontId="20" fillId="0" borderId="2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165" fontId="20" fillId="0" borderId="14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5" fontId="20" fillId="0" borderId="22" xfId="0" applyNumberFormat="1" applyFont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righ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1" fontId="20" fillId="0" borderId="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1" name="Line 1"/>
        <xdr:cNvSpPr>
          <a:spLocks/>
        </xdr:cNvSpPr>
      </xdr:nvSpPr>
      <xdr:spPr>
        <a:xfrm>
          <a:off x="39338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2" name="Line 2"/>
        <xdr:cNvSpPr>
          <a:spLocks/>
        </xdr:cNvSpPr>
      </xdr:nvSpPr>
      <xdr:spPr>
        <a:xfrm>
          <a:off x="66770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66770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514350</xdr:colOff>
      <xdr:row>142</xdr:row>
      <xdr:rowOff>0</xdr:rowOff>
    </xdr:from>
    <xdr:to>
      <xdr:col>3</xdr:col>
      <xdr:colOff>514350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444817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5" name="Line 5"/>
        <xdr:cNvSpPr>
          <a:spLocks/>
        </xdr:cNvSpPr>
      </xdr:nvSpPr>
      <xdr:spPr>
        <a:xfrm>
          <a:off x="39338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2447925" y="46986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495300</xdr:colOff>
      <xdr:row>142</xdr:row>
      <xdr:rowOff>0</xdr:rowOff>
    </xdr:from>
    <xdr:to>
      <xdr:col>4</xdr:col>
      <xdr:colOff>495300</xdr:colOff>
      <xdr:row>142</xdr:row>
      <xdr:rowOff>0</xdr:rowOff>
    </xdr:to>
    <xdr:sp>
      <xdr:nvSpPr>
        <xdr:cNvPr id="9" name="Line 9"/>
        <xdr:cNvSpPr>
          <a:spLocks/>
        </xdr:cNvSpPr>
      </xdr:nvSpPr>
      <xdr:spPr>
        <a:xfrm>
          <a:off x="5915025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0" name="Line 10"/>
        <xdr:cNvSpPr>
          <a:spLocks/>
        </xdr:cNvSpPr>
      </xdr:nvSpPr>
      <xdr:spPr>
        <a:xfrm>
          <a:off x="8172450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514350</xdr:colOff>
      <xdr:row>142</xdr:row>
      <xdr:rowOff>0</xdr:rowOff>
    </xdr:from>
    <xdr:to>
      <xdr:col>6</xdr:col>
      <xdr:colOff>514350</xdr:colOff>
      <xdr:row>142</xdr:row>
      <xdr:rowOff>0</xdr:rowOff>
    </xdr:to>
    <xdr:sp>
      <xdr:nvSpPr>
        <xdr:cNvPr id="11" name="Line 11"/>
        <xdr:cNvSpPr>
          <a:spLocks/>
        </xdr:cNvSpPr>
      </xdr:nvSpPr>
      <xdr:spPr>
        <a:xfrm>
          <a:off x="8686800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2" name="Line 12"/>
        <xdr:cNvSpPr>
          <a:spLocks/>
        </xdr:cNvSpPr>
      </xdr:nvSpPr>
      <xdr:spPr>
        <a:xfrm>
          <a:off x="8172450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9525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6677025" y="46986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142</xdr:row>
      <xdr:rowOff>0</xdr:rowOff>
    </xdr:from>
    <xdr:to>
      <xdr:col>7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096500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752475</xdr:colOff>
      <xdr:row>124</xdr:row>
      <xdr:rowOff>9525</xdr:rowOff>
    </xdr:from>
    <xdr:to>
      <xdr:col>5</xdr:col>
      <xdr:colOff>752475</xdr:colOff>
      <xdr:row>134</xdr:row>
      <xdr:rowOff>0</xdr:rowOff>
    </xdr:to>
    <xdr:sp>
      <xdr:nvSpPr>
        <xdr:cNvPr id="15" name="Line 15"/>
        <xdr:cNvSpPr>
          <a:spLocks/>
        </xdr:cNvSpPr>
      </xdr:nvSpPr>
      <xdr:spPr>
        <a:xfrm>
          <a:off x="7429500" y="411289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495300</xdr:colOff>
      <xdr:row>142</xdr:row>
      <xdr:rowOff>0</xdr:rowOff>
    </xdr:from>
    <xdr:to>
      <xdr:col>7</xdr:col>
      <xdr:colOff>495300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591800" y="469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n%202008\Bao%20cao%20KQ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ty"/>
      <sheetName val="Sheet2"/>
      <sheetName val="Cty2008"/>
      <sheetName val="Sheet4"/>
      <sheetName val="Sheet5"/>
      <sheetName val="Sheet7"/>
      <sheetName val="Sheet6"/>
      <sheetName val="VP2008"/>
      <sheetName val="Quy III"/>
      <sheetName val="Cty quý II"/>
      <sheetName val="Cty quy I"/>
      <sheetName val="VPquy I"/>
      <sheetName val="Sheet3"/>
      <sheetName val="VP quý III"/>
      <sheetName val="VPquy II"/>
      <sheetName val="Quý II"/>
      <sheetName val="XL4Poppy"/>
    </sheetNames>
    <sheetDataSet>
      <sheetData sheetId="12">
        <row r="9">
          <cell r="C9">
            <v>9013280103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98">
      <selection activeCell="A109" sqref="A109"/>
    </sheetView>
  </sheetViews>
  <sheetFormatPr defaultColWidth="8.796875" defaultRowHeight="18.75" customHeight="1"/>
  <cols>
    <col min="1" max="1" width="37.59765625" style="2" customWidth="1"/>
    <col min="2" max="2" width="5.59765625" style="2" customWidth="1"/>
    <col min="3" max="3" width="7" style="2" customWidth="1"/>
    <col min="4" max="4" width="18.69921875" style="1" customWidth="1"/>
    <col min="5" max="5" width="17.19921875" style="1" customWidth="1"/>
    <col min="6" max="13" width="12.19921875" style="2" customWidth="1"/>
    <col min="14" max="16384" width="9" style="2" customWidth="1"/>
  </cols>
  <sheetData>
    <row r="1" spans="1:4" ht="19.5" customHeight="1">
      <c r="A1" s="197" t="s">
        <v>0</v>
      </c>
      <c r="B1" s="197"/>
      <c r="C1" s="197"/>
      <c r="D1" s="197"/>
    </row>
    <row r="2" spans="1:5" ht="21.75" customHeight="1">
      <c r="A2" s="198" t="s">
        <v>1</v>
      </c>
      <c r="B2" s="198"/>
      <c r="C2" s="198"/>
      <c r="D2" s="198"/>
      <c r="E2" s="198"/>
    </row>
    <row r="3" spans="1:6" ht="17.25" customHeight="1">
      <c r="A3" s="199" t="s">
        <v>2</v>
      </c>
      <c r="B3" s="199"/>
      <c r="C3" s="199"/>
      <c r="D3" s="199"/>
      <c r="E3" s="199"/>
      <c r="F3" s="3"/>
    </row>
    <row r="4" spans="3:6" ht="18.75" customHeight="1">
      <c r="C4" s="200" t="s">
        <v>3</v>
      </c>
      <c r="D4" s="200"/>
      <c r="E4" s="200"/>
      <c r="F4" s="3"/>
    </row>
    <row r="5" spans="1:6" ht="39.75" customHeigh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3"/>
    </row>
    <row r="6" spans="1:6" ht="18.75" customHeight="1">
      <c r="A6" s="6">
        <v>1</v>
      </c>
      <c r="B6" s="7">
        <v>2</v>
      </c>
      <c r="C6" s="8">
        <v>3</v>
      </c>
      <c r="D6" s="9">
        <v>4</v>
      </c>
      <c r="E6" s="9">
        <v>5</v>
      </c>
      <c r="F6" s="3"/>
    </row>
    <row r="7" spans="1:6" s="15" customFormat="1" ht="37.5" customHeight="1">
      <c r="A7" s="10" t="s">
        <v>9</v>
      </c>
      <c r="B7" s="11" t="s">
        <v>10</v>
      </c>
      <c r="C7" s="12"/>
      <c r="D7" s="13">
        <f>D8+D14+D21+D24</f>
        <v>90421229562</v>
      </c>
      <c r="E7" s="13">
        <f>E8+E14+E21+E24</f>
        <v>79670178696</v>
      </c>
      <c r="F7" s="14"/>
    </row>
    <row r="8" spans="1:6" s="15" customFormat="1" ht="19.5" customHeight="1">
      <c r="A8" s="16" t="s">
        <v>11</v>
      </c>
      <c r="B8" s="17" t="s">
        <v>12</v>
      </c>
      <c r="C8" s="18"/>
      <c r="D8" s="19">
        <f>D9+D10</f>
        <v>5846209027</v>
      </c>
      <c r="E8" s="19">
        <f>E9+E10</f>
        <v>1819789832</v>
      </c>
      <c r="F8" s="14"/>
    </row>
    <row r="9" spans="1:6" ht="19.5" customHeight="1">
      <c r="A9" s="20" t="s">
        <v>13</v>
      </c>
      <c r="B9" s="21" t="s">
        <v>14</v>
      </c>
      <c r="C9" s="22" t="s">
        <v>15</v>
      </c>
      <c r="D9" s="23">
        <f>716183835+5130025192</f>
        <v>5846209027</v>
      </c>
      <c r="E9" s="23">
        <f>825595117+994194715</f>
        <v>1819789832</v>
      </c>
      <c r="F9" s="3"/>
    </row>
    <row r="10" spans="1:6" ht="19.5" customHeight="1">
      <c r="A10" s="24" t="s">
        <v>16</v>
      </c>
      <c r="B10" s="21" t="s">
        <v>17</v>
      </c>
      <c r="C10" s="22"/>
      <c r="D10" s="23"/>
      <c r="E10" s="23"/>
      <c r="F10" s="3"/>
    </row>
    <row r="11" spans="1:6" ht="36" customHeight="1">
      <c r="A11" s="16" t="s">
        <v>18</v>
      </c>
      <c r="B11" s="17" t="s">
        <v>19</v>
      </c>
      <c r="C11" s="18" t="s">
        <v>20</v>
      </c>
      <c r="D11" s="23"/>
      <c r="E11" s="23"/>
      <c r="F11" s="3"/>
    </row>
    <row r="12" spans="1:6" ht="19.5" customHeight="1">
      <c r="A12" s="20" t="s">
        <v>21</v>
      </c>
      <c r="B12" s="21" t="s">
        <v>22</v>
      </c>
      <c r="C12" s="22"/>
      <c r="D12" s="23"/>
      <c r="E12" s="23"/>
      <c r="F12" s="3"/>
    </row>
    <row r="13" spans="1:6" ht="19.5" customHeight="1">
      <c r="A13" s="20" t="s">
        <v>23</v>
      </c>
      <c r="B13" s="21">
        <v>129</v>
      </c>
      <c r="C13" s="22"/>
      <c r="D13" s="23"/>
      <c r="E13" s="23"/>
      <c r="F13" s="3"/>
    </row>
    <row r="14" spans="1:6" s="15" customFormat="1" ht="19.5" customHeight="1">
      <c r="A14" s="16" t="s">
        <v>24</v>
      </c>
      <c r="B14" s="17" t="s">
        <v>25</v>
      </c>
      <c r="C14" s="18"/>
      <c r="D14" s="19">
        <f>SUM(D15:D20)</f>
        <v>11198623237</v>
      </c>
      <c r="E14" s="19">
        <f>SUM(E15:E20)</f>
        <v>11442676745</v>
      </c>
      <c r="F14" s="14"/>
    </row>
    <row r="15" spans="1:6" ht="19.5" customHeight="1">
      <c r="A15" s="20" t="s">
        <v>26</v>
      </c>
      <c r="B15" s="21" t="s">
        <v>27</v>
      </c>
      <c r="C15" s="22"/>
      <c r="D15" s="23">
        <v>5769320140</v>
      </c>
      <c r="E15" s="23">
        <v>5580888235</v>
      </c>
      <c r="F15" s="3"/>
    </row>
    <row r="16" spans="1:6" ht="19.5" customHeight="1">
      <c r="A16" s="20" t="s">
        <v>28</v>
      </c>
      <c r="B16" s="21" t="s">
        <v>29</v>
      </c>
      <c r="C16" s="22"/>
      <c r="D16" s="23">
        <v>2699370687</v>
      </c>
      <c r="E16" s="23">
        <v>2664251504</v>
      </c>
      <c r="F16" s="3"/>
    </row>
    <row r="17" spans="1:6" ht="19.5" customHeight="1">
      <c r="A17" s="20" t="s">
        <v>30</v>
      </c>
      <c r="B17" s="21">
        <v>133</v>
      </c>
      <c r="C17" s="22"/>
      <c r="D17" s="23">
        <v>197469105</v>
      </c>
      <c r="E17" s="23"/>
      <c r="F17" s="3"/>
    </row>
    <row r="18" spans="1:6" ht="36" customHeight="1">
      <c r="A18" s="20" t="s">
        <v>31</v>
      </c>
      <c r="B18" s="21">
        <v>134</v>
      </c>
      <c r="C18" s="22"/>
      <c r="D18" s="23"/>
      <c r="E18" s="23"/>
      <c r="F18" s="3"/>
    </row>
    <row r="19" spans="1:6" ht="19.5" customHeight="1">
      <c r="A19" s="20" t="s">
        <v>32</v>
      </c>
      <c r="B19" s="21" t="s">
        <v>33</v>
      </c>
      <c r="C19" s="22" t="s">
        <v>34</v>
      </c>
      <c r="D19" s="23">
        <f>2530251910+2211395</f>
        <v>2532463305</v>
      </c>
      <c r="E19" s="23">
        <f>3195895169+1641837</f>
        <v>3197537006</v>
      </c>
      <c r="F19" s="3"/>
    </row>
    <row r="20" spans="1:6" ht="36" customHeight="1">
      <c r="A20" s="20" t="s">
        <v>35</v>
      </c>
      <c r="B20" s="21" t="s">
        <v>36</v>
      </c>
      <c r="C20" s="22"/>
      <c r="D20" s="23"/>
      <c r="E20" s="23"/>
      <c r="F20" s="3"/>
    </row>
    <row r="21" spans="1:6" s="15" customFormat="1" ht="19.5" customHeight="1">
      <c r="A21" s="16" t="s">
        <v>37</v>
      </c>
      <c r="B21" s="17" t="s">
        <v>38</v>
      </c>
      <c r="C21" s="18"/>
      <c r="D21" s="19">
        <f>SUM(D22:D23)</f>
        <v>68913351483</v>
      </c>
      <c r="E21" s="19">
        <f>SUM(E22:E23)</f>
        <v>62531602293</v>
      </c>
      <c r="F21" s="14"/>
    </row>
    <row r="22" spans="1:6" ht="19.5" customHeight="1">
      <c r="A22" s="20" t="s">
        <v>39</v>
      </c>
      <c r="B22" s="21" t="s">
        <v>40</v>
      </c>
      <c r="C22" s="22" t="s">
        <v>41</v>
      </c>
      <c r="D22" s="23">
        <f>275934290+12002632515+419875971+2897419289+37739965031+19019175031+75849356</f>
        <v>72430851483</v>
      </c>
      <c r="E22" s="23">
        <v>66049102293</v>
      </c>
      <c r="F22" s="3"/>
    </row>
    <row r="23" spans="1:6" ht="19.5" customHeight="1">
      <c r="A23" s="20" t="s">
        <v>42</v>
      </c>
      <c r="B23" s="21" t="s">
        <v>43</v>
      </c>
      <c r="C23" s="22"/>
      <c r="D23" s="25">
        <v>-3517500000</v>
      </c>
      <c r="E23" s="25">
        <v>-3517500000</v>
      </c>
      <c r="F23" s="3"/>
    </row>
    <row r="24" spans="1:6" s="15" customFormat="1" ht="19.5" customHeight="1">
      <c r="A24" s="26" t="s">
        <v>44</v>
      </c>
      <c r="B24" s="17">
        <v>150</v>
      </c>
      <c r="C24" s="18"/>
      <c r="D24" s="19">
        <f>SUM(D25:D28)</f>
        <v>4463045815</v>
      </c>
      <c r="E24" s="19">
        <f>SUM(E25:E28)</f>
        <v>3876109826</v>
      </c>
      <c r="F24" s="14"/>
    </row>
    <row r="25" spans="1:5" ht="19.5" customHeight="1">
      <c r="A25" s="20" t="s">
        <v>45</v>
      </c>
      <c r="B25" s="21">
        <v>151</v>
      </c>
      <c r="C25" s="22"/>
      <c r="D25" s="23">
        <v>1690896174</v>
      </c>
      <c r="E25" s="23">
        <v>1577855698</v>
      </c>
    </row>
    <row r="26" spans="1:5" ht="19.5" customHeight="1">
      <c r="A26" s="20" t="s">
        <v>46</v>
      </c>
      <c r="B26" s="21">
        <v>152</v>
      </c>
      <c r="C26" s="22"/>
      <c r="D26" s="23">
        <v>1143909856</v>
      </c>
      <c r="E26" s="23">
        <v>938653876</v>
      </c>
    </row>
    <row r="27" spans="1:5" ht="19.5" customHeight="1">
      <c r="A27" s="20" t="s">
        <v>47</v>
      </c>
      <c r="B27" s="21">
        <v>154</v>
      </c>
      <c r="C27" s="22"/>
      <c r="D27" s="23"/>
      <c r="E27" s="23"/>
    </row>
    <row r="28" spans="1:5" ht="19.5" customHeight="1">
      <c r="A28" s="20" t="s">
        <v>48</v>
      </c>
      <c r="B28" s="21">
        <v>158</v>
      </c>
      <c r="C28" s="22"/>
      <c r="D28" s="23">
        <f>1515794951-12342816+124787650</f>
        <v>1628239785</v>
      </c>
      <c r="E28" s="23">
        <v>1359600252</v>
      </c>
    </row>
    <row r="29" spans="1:5" ht="36" customHeight="1">
      <c r="A29" s="27" t="s">
        <v>49</v>
      </c>
      <c r="B29" s="17" t="s">
        <v>50</v>
      </c>
      <c r="C29" s="22"/>
      <c r="D29" s="19">
        <f>D36+D50+D55</f>
        <v>62838896080</v>
      </c>
      <c r="E29" s="19">
        <f>E36+E50+E55</f>
        <v>61918389408</v>
      </c>
    </row>
    <row r="30" spans="1:5" s="15" customFormat="1" ht="19.5" customHeight="1">
      <c r="A30" s="26" t="s">
        <v>51</v>
      </c>
      <c r="B30" s="17">
        <v>210</v>
      </c>
      <c r="C30" s="18"/>
      <c r="D30" s="19"/>
      <c r="E30" s="19"/>
    </row>
    <row r="31" spans="1:5" ht="19.5" customHeight="1">
      <c r="A31" s="20" t="s">
        <v>52</v>
      </c>
      <c r="B31" s="21">
        <v>211</v>
      </c>
      <c r="C31" s="22"/>
      <c r="D31" s="23"/>
      <c r="E31" s="23"/>
    </row>
    <row r="32" spans="1:5" ht="36" customHeight="1">
      <c r="A32" s="20" t="s">
        <v>53</v>
      </c>
      <c r="B32" s="21">
        <v>212</v>
      </c>
      <c r="C32" s="22"/>
      <c r="D32" s="23"/>
      <c r="E32" s="23"/>
    </row>
    <row r="33" spans="1:5" ht="19.5" customHeight="1">
      <c r="A33" s="20" t="s">
        <v>54</v>
      </c>
      <c r="B33" s="21">
        <v>213</v>
      </c>
      <c r="C33" s="22" t="s">
        <v>55</v>
      </c>
      <c r="D33" s="23"/>
      <c r="E33" s="23"/>
    </row>
    <row r="34" spans="1:5" ht="19.5" customHeight="1">
      <c r="A34" s="20" t="s">
        <v>56</v>
      </c>
      <c r="B34" s="21">
        <v>218</v>
      </c>
      <c r="C34" s="22" t="s">
        <v>57</v>
      </c>
      <c r="D34" s="23"/>
      <c r="E34" s="23"/>
    </row>
    <row r="35" spans="1:5" ht="19.5" customHeight="1">
      <c r="A35" s="28" t="s">
        <v>58</v>
      </c>
      <c r="B35" s="29">
        <v>219</v>
      </c>
      <c r="C35" s="30"/>
      <c r="D35" s="31"/>
      <c r="E35" s="31"/>
    </row>
    <row r="36" spans="1:5" ht="19.5" customHeight="1">
      <c r="A36" s="32" t="s">
        <v>59</v>
      </c>
      <c r="B36" s="33">
        <v>220</v>
      </c>
      <c r="C36" s="34"/>
      <c r="D36" s="35">
        <f>D37+D43+D46</f>
        <v>49482382977</v>
      </c>
      <c r="E36" s="35">
        <f>E37+E43+E46</f>
        <v>46031846345</v>
      </c>
    </row>
    <row r="37" spans="1:5" ht="19.5" customHeight="1">
      <c r="A37" s="36" t="s">
        <v>60</v>
      </c>
      <c r="B37" s="37">
        <v>221</v>
      </c>
      <c r="C37" s="38" t="s">
        <v>61</v>
      </c>
      <c r="D37" s="39">
        <f>D38+D39</f>
        <v>22351358288</v>
      </c>
      <c r="E37" s="39">
        <f>E38+E39</f>
        <v>23958275040</v>
      </c>
    </row>
    <row r="38" spans="1:5" ht="19.5" customHeight="1">
      <c r="A38" s="20" t="s">
        <v>62</v>
      </c>
      <c r="B38" s="21">
        <v>222</v>
      </c>
      <c r="C38" s="22"/>
      <c r="D38" s="23">
        <f>47100417115+1074042062</f>
        <v>48174459177</v>
      </c>
      <c r="E38" s="23">
        <v>48174459177</v>
      </c>
    </row>
    <row r="39" spans="1:5" ht="19.5" customHeight="1">
      <c r="A39" s="20" t="s">
        <v>63</v>
      </c>
      <c r="B39" s="21">
        <v>223</v>
      </c>
      <c r="C39" s="22"/>
      <c r="D39" s="25">
        <f>-26227144931+404044042</f>
        <v>-25823100889</v>
      </c>
      <c r="E39" s="25">
        <v>-24216184137</v>
      </c>
    </row>
    <row r="40" spans="1:5" ht="19.5" customHeight="1">
      <c r="A40" s="20" t="s">
        <v>64</v>
      </c>
      <c r="B40" s="21">
        <v>224</v>
      </c>
      <c r="C40" s="22" t="s">
        <v>65</v>
      </c>
      <c r="D40" s="23"/>
      <c r="E40" s="40"/>
    </row>
    <row r="41" spans="1:5" ht="19.5" customHeight="1">
      <c r="A41" s="20" t="s">
        <v>62</v>
      </c>
      <c r="B41" s="21">
        <v>225</v>
      </c>
      <c r="C41" s="22"/>
      <c r="D41" s="23"/>
      <c r="E41" s="40"/>
    </row>
    <row r="42" spans="1:5" ht="19.5" customHeight="1">
      <c r="A42" s="20" t="s">
        <v>63</v>
      </c>
      <c r="B42" s="21">
        <v>226</v>
      </c>
      <c r="C42" s="22"/>
      <c r="D42" s="23"/>
      <c r="E42" s="40"/>
    </row>
    <row r="43" spans="1:5" ht="19.5" customHeight="1">
      <c r="A43" s="20" t="s">
        <v>66</v>
      </c>
      <c r="B43" s="21">
        <v>227</v>
      </c>
      <c r="C43" s="22" t="s">
        <v>67</v>
      </c>
      <c r="D43" s="23">
        <f>D44+D45</f>
        <v>704310085</v>
      </c>
      <c r="E43" s="23">
        <f>E44+E45</f>
        <v>740249464</v>
      </c>
    </row>
    <row r="44" spans="1:5" ht="19.5" customHeight="1">
      <c r="A44" s="20" t="s">
        <v>62</v>
      </c>
      <c r="B44" s="21">
        <v>228</v>
      </c>
      <c r="C44" s="22"/>
      <c r="D44" s="23">
        <v>1108354127</v>
      </c>
      <c r="E44" s="41">
        <v>1108354127</v>
      </c>
    </row>
    <row r="45" spans="1:5" ht="19.5" customHeight="1">
      <c r="A45" s="20" t="s">
        <v>63</v>
      </c>
      <c r="B45" s="21">
        <v>229</v>
      </c>
      <c r="C45" s="22"/>
      <c r="D45" s="25">
        <f>-9666672-243117999-151259371</f>
        <v>-404044042</v>
      </c>
      <c r="E45" s="25">
        <v>-368104663</v>
      </c>
    </row>
    <row r="46" spans="1:5" ht="19.5" customHeight="1">
      <c r="A46" s="20" t="s">
        <v>68</v>
      </c>
      <c r="B46" s="21">
        <v>230</v>
      </c>
      <c r="C46" s="22" t="s">
        <v>69</v>
      </c>
      <c r="D46" s="23">
        <v>26426714604</v>
      </c>
      <c r="E46" s="41">
        <v>21333321841</v>
      </c>
    </row>
    <row r="47" spans="1:5" s="15" customFormat="1" ht="19.5" customHeight="1">
      <c r="A47" s="16" t="s">
        <v>70</v>
      </c>
      <c r="B47" s="17">
        <v>240</v>
      </c>
      <c r="C47" s="22" t="s">
        <v>71</v>
      </c>
      <c r="D47" s="23"/>
      <c r="E47" s="23"/>
    </row>
    <row r="48" spans="1:5" ht="19.5" customHeight="1">
      <c r="A48" s="20" t="s">
        <v>62</v>
      </c>
      <c r="B48" s="21">
        <v>241</v>
      </c>
      <c r="C48" s="22"/>
      <c r="D48" s="23"/>
      <c r="E48" s="23"/>
    </row>
    <row r="49" spans="1:5" ht="19.5" customHeight="1">
      <c r="A49" s="20" t="s">
        <v>72</v>
      </c>
      <c r="B49" s="21">
        <v>242</v>
      </c>
      <c r="C49" s="22"/>
      <c r="D49" s="23"/>
      <c r="E49" s="23"/>
    </row>
    <row r="50" spans="1:5" s="15" customFormat="1" ht="19.5" customHeight="1">
      <c r="A50" s="26" t="s">
        <v>73</v>
      </c>
      <c r="B50" s="17">
        <v>250</v>
      </c>
      <c r="C50" s="18"/>
      <c r="D50" s="19">
        <f>SUM(D51:D54)</f>
        <v>8361629746</v>
      </c>
      <c r="E50" s="19">
        <f>SUM(E51:E54)</f>
        <v>11184905546</v>
      </c>
    </row>
    <row r="51" spans="1:5" ht="19.5" customHeight="1">
      <c r="A51" s="20" t="s">
        <v>74</v>
      </c>
      <c r="B51" s="21">
        <v>251</v>
      </c>
      <c r="C51" s="22"/>
      <c r="D51" s="23"/>
      <c r="E51" s="23"/>
    </row>
    <row r="52" spans="1:5" ht="19.5" customHeight="1">
      <c r="A52" s="20" t="s">
        <v>75</v>
      </c>
      <c r="B52" s="21">
        <v>252</v>
      </c>
      <c r="C52" s="22"/>
      <c r="D52" s="23">
        <f>500000000+4460475872</f>
        <v>4960475872</v>
      </c>
      <c r="E52" s="23">
        <f>500000000+5273077072</f>
        <v>5773077072</v>
      </c>
    </row>
    <row r="53" spans="1:5" ht="19.5" customHeight="1">
      <c r="A53" s="20" t="s">
        <v>76</v>
      </c>
      <c r="B53" s="21">
        <v>258</v>
      </c>
      <c r="C53" s="22" t="s">
        <v>77</v>
      </c>
      <c r="D53" s="23">
        <f>1110000000+2291153874</f>
        <v>3401153874</v>
      </c>
      <c r="E53" s="23">
        <f>4301828474+1110000000</f>
        <v>5411828474</v>
      </c>
    </row>
    <row r="54" spans="1:5" ht="19.5" customHeight="1">
      <c r="A54" s="20" t="s">
        <v>78</v>
      </c>
      <c r="B54" s="21">
        <v>259</v>
      </c>
      <c r="C54" s="22"/>
      <c r="D54" s="23"/>
      <c r="E54" s="23"/>
    </row>
    <row r="55" spans="1:5" ht="19.5" customHeight="1">
      <c r="A55" s="26" t="s">
        <v>79</v>
      </c>
      <c r="B55" s="17">
        <v>260</v>
      </c>
      <c r="C55" s="22"/>
      <c r="D55" s="19">
        <f>D56+D57+D58</f>
        <v>4994883357</v>
      </c>
      <c r="E55" s="19">
        <f>E56+E57+E58</f>
        <v>4701637517</v>
      </c>
    </row>
    <row r="56" spans="1:5" ht="19.5" customHeight="1">
      <c r="A56" s="42" t="s">
        <v>80</v>
      </c>
      <c r="B56" s="21">
        <v>261</v>
      </c>
      <c r="C56" s="22" t="s">
        <v>81</v>
      </c>
      <c r="D56" s="23">
        <v>4981788215</v>
      </c>
      <c r="E56" s="23">
        <v>4688542375</v>
      </c>
    </row>
    <row r="57" spans="1:5" ht="19.5" customHeight="1">
      <c r="A57" s="42" t="s">
        <v>82</v>
      </c>
      <c r="B57" s="21">
        <v>262</v>
      </c>
      <c r="C57" s="22" t="s">
        <v>83</v>
      </c>
      <c r="D57" s="23"/>
      <c r="E57" s="23"/>
    </row>
    <row r="58" spans="1:5" ht="19.5" customHeight="1">
      <c r="A58" s="42" t="s">
        <v>84</v>
      </c>
      <c r="B58" s="21">
        <v>268</v>
      </c>
      <c r="C58" s="22"/>
      <c r="D58" s="23">
        <v>13095142</v>
      </c>
      <c r="E58" s="23">
        <v>13095142</v>
      </c>
    </row>
    <row r="59" spans="1:7" ht="36" customHeight="1">
      <c r="A59" s="27" t="s">
        <v>85</v>
      </c>
      <c r="B59" s="17">
        <v>270</v>
      </c>
      <c r="C59" s="22"/>
      <c r="D59" s="19">
        <f>D29+D7</f>
        <v>153260125642</v>
      </c>
      <c r="E59" s="19">
        <f>E29+E7</f>
        <v>141588568104</v>
      </c>
      <c r="F59" s="182">
        <f>D59-D98</f>
        <v>0</v>
      </c>
      <c r="G59" s="182">
        <f>E59-E98</f>
        <v>0</v>
      </c>
    </row>
    <row r="60" spans="1:5" ht="19.5" customHeight="1">
      <c r="A60" s="43" t="s">
        <v>86</v>
      </c>
      <c r="B60" s="17"/>
      <c r="C60" s="22"/>
      <c r="D60" s="23"/>
      <c r="E60" s="23"/>
    </row>
    <row r="61" spans="1:5" ht="19.5" customHeight="1">
      <c r="A61" s="27" t="s">
        <v>87</v>
      </c>
      <c r="B61" s="17" t="s">
        <v>88</v>
      </c>
      <c r="C61" s="22"/>
      <c r="D61" s="19">
        <f>D62+D73</f>
        <v>63205010766</v>
      </c>
      <c r="E61" s="19">
        <f>E62+E73</f>
        <v>51860052849</v>
      </c>
    </row>
    <row r="62" spans="1:5" ht="19.5" customHeight="1">
      <c r="A62" s="16" t="s">
        <v>89</v>
      </c>
      <c r="B62" s="17" t="s">
        <v>90</v>
      </c>
      <c r="C62" s="22"/>
      <c r="D62" s="19">
        <f>SUM(D63:D72)</f>
        <v>62497218796</v>
      </c>
      <c r="E62" s="19">
        <f>SUM(E63:E72)</f>
        <v>51107572134</v>
      </c>
    </row>
    <row r="63" spans="1:5" ht="21" customHeight="1">
      <c r="A63" s="24" t="s">
        <v>91</v>
      </c>
      <c r="B63" s="21" t="s">
        <v>92</v>
      </c>
      <c r="C63" s="22" t="s">
        <v>93</v>
      </c>
      <c r="D63" s="23">
        <v>2773850915</v>
      </c>
      <c r="E63" s="23">
        <v>2353372065</v>
      </c>
    </row>
    <row r="64" spans="1:5" ht="21" customHeight="1">
      <c r="A64" s="20" t="s">
        <v>94</v>
      </c>
      <c r="B64" s="21">
        <v>312</v>
      </c>
      <c r="C64" s="22"/>
      <c r="D64" s="23">
        <v>5760370934</v>
      </c>
      <c r="E64" s="23">
        <v>8191534353</v>
      </c>
    </row>
    <row r="65" spans="1:5" ht="21" customHeight="1">
      <c r="A65" s="20" t="s">
        <v>95</v>
      </c>
      <c r="B65" s="21">
        <v>313</v>
      </c>
      <c r="C65" s="22"/>
      <c r="D65" s="23">
        <v>37842897894</v>
      </c>
      <c r="E65" s="23">
        <v>28643233320</v>
      </c>
    </row>
    <row r="66" spans="1:5" ht="21" customHeight="1">
      <c r="A66" s="20" t="s">
        <v>96</v>
      </c>
      <c r="B66" s="21">
        <v>314</v>
      </c>
      <c r="C66" s="22" t="s">
        <v>97</v>
      </c>
      <c r="D66" s="23">
        <f>3939766064-551276</f>
        <v>3939214788</v>
      </c>
      <c r="E66" s="23">
        <v>3973133977</v>
      </c>
    </row>
    <row r="67" spans="1:5" ht="21" customHeight="1">
      <c r="A67" s="20" t="s">
        <v>98</v>
      </c>
      <c r="B67" s="21">
        <v>315</v>
      </c>
      <c r="C67" s="22"/>
      <c r="D67" s="23">
        <v>3020710622</v>
      </c>
      <c r="E67" s="23">
        <v>3330576603</v>
      </c>
    </row>
    <row r="68" spans="1:5" ht="19.5" customHeight="1">
      <c r="A68" s="20" t="s">
        <v>99</v>
      </c>
      <c r="B68" s="21">
        <v>316</v>
      </c>
      <c r="C68" s="22" t="s">
        <v>100</v>
      </c>
      <c r="D68" s="23">
        <v>115516555</v>
      </c>
      <c r="E68" s="23">
        <v>115516555</v>
      </c>
    </row>
    <row r="69" spans="1:5" ht="19.5" customHeight="1">
      <c r="A69" s="20" t="s">
        <v>101</v>
      </c>
      <c r="B69" s="21">
        <v>317</v>
      </c>
      <c r="C69" s="22"/>
      <c r="D69" s="23">
        <v>645385076</v>
      </c>
      <c r="E69" s="23"/>
    </row>
    <row r="70" spans="1:5" ht="36" customHeight="1">
      <c r="A70" s="20" t="s">
        <v>102</v>
      </c>
      <c r="B70" s="21">
        <v>318</v>
      </c>
      <c r="C70" s="22"/>
      <c r="D70" s="23"/>
      <c r="E70" s="23"/>
    </row>
    <row r="71" spans="1:5" ht="19.5" customHeight="1">
      <c r="A71" s="20" t="s">
        <v>103</v>
      </c>
      <c r="B71" s="21">
        <v>319</v>
      </c>
      <c r="C71" s="22" t="s">
        <v>104</v>
      </c>
      <c r="D71" s="23">
        <f>8377968012+21304000</f>
        <v>8399272012</v>
      </c>
      <c r="E71" s="23">
        <v>4500205261</v>
      </c>
    </row>
    <row r="72" spans="1:5" ht="19.5" customHeight="1">
      <c r="A72" s="44" t="s">
        <v>105</v>
      </c>
      <c r="B72" s="45">
        <v>320</v>
      </c>
      <c r="C72" s="34"/>
      <c r="D72" s="46"/>
      <c r="E72" s="46"/>
    </row>
    <row r="73" spans="1:5" s="15" customFormat="1" ht="19.5" customHeight="1">
      <c r="A73" s="47" t="s">
        <v>106</v>
      </c>
      <c r="B73" s="11">
        <v>330</v>
      </c>
      <c r="C73" s="12"/>
      <c r="D73" s="13">
        <f>SUM(D74:D80)</f>
        <v>707791970</v>
      </c>
      <c r="E73" s="13">
        <f>SUM(E74:E80)</f>
        <v>752480715</v>
      </c>
    </row>
    <row r="74" spans="1:5" ht="19.5" customHeight="1">
      <c r="A74" s="48" t="s">
        <v>107</v>
      </c>
      <c r="B74" s="49">
        <v>331</v>
      </c>
      <c r="C74" s="50"/>
      <c r="D74" s="51"/>
      <c r="E74" s="51"/>
    </row>
    <row r="75" spans="1:5" ht="19.5" customHeight="1">
      <c r="A75" s="20" t="s">
        <v>108</v>
      </c>
      <c r="B75" s="21">
        <v>332</v>
      </c>
      <c r="C75" s="22" t="s">
        <v>109</v>
      </c>
      <c r="D75" s="23"/>
      <c r="E75" s="23"/>
    </row>
    <row r="76" spans="1:5" ht="19.5" customHeight="1">
      <c r="A76" s="20" t="s">
        <v>110</v>
      </c>
      <c r="B76" s="21">
        <v>333</v>
      </c>
      <c r="C76" s="22"/>
      <c r="D76" s="23"/>
      <c r="E76" s="23"/>
    </row>
    <row r="77" spans="1:5" ht="19.5" customHeight="1">
      <c r="A77" s="20" t="s">
        <v>111</v>
      </c>
      <c r="B77" s="21">
        <v>334</v>
      </c>
      <c r="C77" s="22" t="s">
        <v>112</v>
      </c>
      <c r="D77" s="23">
        <v>18000000</v>
      </c>
      <c r="E77" s="23">
        <v>18000000</v>
      </c>
    </row>
    <row r="78" spans="1:5" ht="19.5" customHeight="1">
      <c r="A78" s="20" t="s">
        <v>113</v>
      </c>
      <c r="B78" s="21">
        <v>335</v>
      </c>
      <c r="C78" s="22" t="s">
        <v>83</v>
      </c>
      <c r="D78" s="23"/>
      <c r="E78" s="23"/>
    </row>
    <row r="79" spans="1:5" ht="19.5" customHeight="1">
      <c r="A79" s="20" t="s">
        <v>114</v>
      </c>
      <c r="B79" s="21">
        <v>336</v>
      </c>
      <c r="C79" s="22"/>
      <c r="D79" s="23">
        <v>689791970</v>
      </c>
      <c r="E79" s="23">
        <v>734480715</v>
      </c>
    </row>
    <row r="80" spans="1:5" ht="19.5" customHeight="1">
      <c r="A80" s="20" t="s">
        <v>115</v>
      </c>
      <c r="B80" s="21">
        <v>337</v>
      </c>
      <c r="C80" s="22"/>
      <c r="D80" s="23"/>
      <c r="E80" s="23"/>
    </row>
    <row r="81" spans="1:5" ht="19.5" customHeight="1">
      <c r="A81" s="27" t="s">
        <v>116</v>
      </c>
      <c r="B81" s="17" t="s">
        <v>117</v>
      </c>
      <c r="C81" s="22"/>
      <c r="D81" s="19">
        <f>D82+D94</f>
        <v>90055114876</v>
      </c>
      <c r="E81" s="19">
        <f>E82+E94</f>
        <v>89728515255</v>
      </c>
    </row>
    <row r="82" spans="1:5" ht="19.5" customHeight="1">
      <c r="A82" s="16" t="s">
        <v>118</v>
      </c>
      <c r="B82" s="17" t="s">
        <v>119</v>
      </c>
      <c r="C82" s="22"/>
      <c r="D82" s="19">
        <f>SUM(D83:D93)</f>
        <v>87847628006</v>
      </c>
      <c r="E82" s="19">
        <f>SUM(E83:E93)</f>
        <v>87497278385</v>
      </c>
    </row>
    <row r="83" spans="1:5" ht="19.5" customHeight="1">
      <c r="A83" s="20" t="s">
        <v>120</v>
      </c>
      <c r="B83" s="21" t="s">
        <v>121</v>
      </c>
      <c r="C83" s="22" t="s">
        <v>122</v>
      </c>
      <c r="D83" s="23">
        <f>E83</f>
        <v>37483000000</v>
      </c>
      <c r="E83" s="23">
        <v>37483000000</v>
      </c>
    </row>
    <row r="84" spans="1:5" ht="19.5" customHeight="1">
      <c r="A84" s="20" t="s">
        <v>123</v>
      </c>
      <c r="B84" s="21">
        <v>412</v>
      </c>
      <c r="C84" s="22"/>
      <c r="D84" s="23">
        <f>E84</f>
        <v>38875030000</v>
      </c>
      <c r="E84" s="23">
        <v>38875030000</v>
      </c>
    </row>
    <row r="85" spans="1:5" ht="19.5" customHeight="1">
      <c r="A85" s="20" t="s">
        <v>124</v>
      </c>
      <c r="B85" s="21">
        <v>413</v>
      </c>
      <c r="C85" s="22"/>
      <c r="D85" s="23"/>
      <c r="E85" s="23"/>
    </row>
    <row r="86" spans="1:5" ht="19.5" customHeight="1">
      <c r="A86" s="20" t="s">
        <v>125</v>
      </c>
      <c r="B86" s="21">
        <v>414</v>
      </c>
      <c r="C86" s="22"/>
      <c r="D86" s="23"/>
      <c r="E86" s="23"/>
    </row>
    <row r="87" spans="1:5" ht="19.5" customHeight="1">
      <c r="A87" s="24" t="s">
        <v>126</v>
      </c>
      <c r="B87" s="21">
        <v>415</v>
      </c>
      <c r="C87" s="22"/>
      <c r="D87" s="23"/>
      <c r="E87" s="23"/>
    </row>
    <row r="88" spans="1:5" ht="19.5" customHeight="1">
      <c r="A88" s="20" t="s">
        <v>127</v>
      </c>
      <c r="B88" s="21">
        <v>416</v>
      </c>
      <c r="C88" s="22"/>
      <c r="D88" s="23"/>
      <c r="E88" s="23"/>
    </row>
    <row r="89" spans="1:5" ht="19.5" customHeight="1">
      <c r="A89" s="20" t="s">
        <v>128</v>
      </c>
      <c r="B89" s="21">
        <v>417</v>
      </c>
      <c r="C89" s="22"/>
      <c r="D89" s="23">
        <v>9236022235</v>
      </c>
      <c r="E89" s="23">
        <v>9236022235</v>
      </c>
    </row>
    <row r="90" spans="1:5" ht="19.5" customHeight="1">
      <c r="A90" s="20" t="s">
        <v>129</v>
      </c>
      <c r="B90" s="21">
        <v>418</v>
      </c>
      <c r="C90" s="22"/>
      <c r="D90" s="23">
        <v>1126360083</v>
      </c>
      <c r="E90" s="23">
        <v>1126360083</v>
      </c>
    </row>
    <row r="91" spans="1:5" ht="19.5" customHeight="1">
      <c r="A91" s="20" t="s">
        <v>130</v>
      </c>
      <c r="B91" s="21">
        <v>419</v>
      </c>
      <c r="C91" s="22"/>
      <c r="D91" s="23"/>
      <c r="E91" s="23"/>
    </row>
    <row r="92" spans="1:5" ht="19.5" customHeight="1">
      <c r="A92" s="20" t="s">
        <v>131</v>
      </c>
      <c r="B92" s="21">
        <v>420</v>
      </c>
      <c r="C92" s="22"/>
      <c r="D92" s="23">
        <f>8803553427-7676337739</f>
        <v>1127215688</v>
      </c>
      <c r="E92" s="23">
        <v>776866067</v>
      </c>
    </row>
    <row r="93" spans="1:5" ht="19.5" customHeight="1">
      <c r="A93" s="20" t="s">
        <v>132</v>
      </c>
      <c r="B93" s="21">
        <v>421</v>
      </c>
      <c r="C93" s="22"/>
      <c r="D93" s="23"/>
      <c r="E93" s="23"/>
    </row>
    <row r="94" spans="1:5" ht="19.5" customHeight="1">
      <c r="A94" s="16" t="s">
        <v>133</v>
      </c>
      <c r="B94" s="17">
        <v>430</v>
      </c>
      <c r="C94" s="22"/>
      <c r="D94" s="19">
        <f>SUM(D95:D97)</f>
        <v>2207486870</v>
      </c>
      <c r="E94" s="19">
        <f>SUM(E95:E97)</f>
        <v>2231236870</v>
      </c>
    </row>
    <row r="95" spans="1:5" ht="19.5" customHeight="1">
      <c r="A95" s="42" t="s">
        <v>134</v>
      </c>
      <c r="B95" s="21">
        <v>421</v>
      </c>
      <c r="C95" s="22"/>
      <c r="D95" s="23">
        <v>2207486870</v>
      </c>
      <c r="E95" s="23">
        <v>2231236870</v>
      </c>
    </row>
    <row r="96" spans="1:5" ht="19.5" customHeight="1">
      <c r="A96" s="20" t="s">
        <v>135</v>
      </c>
      <c r="B96" s="21">
        <v>422</v>
      </c>
      <c r="C96" s="22" t="s">
        <v>136</v>
      </c>
      <c r="D96" s="23"/>
      <c r="E96" s="23"/>
    </row>
    <row r="97" spans="1:6" ht="36" customHeight="1">
      <c r="A97" s="20" t="s">
        <v>137</v>
      </c>
      <c r="B97" s="21">
        <v>423</v>
      </c>
      <c r="C97" s="22"/>
      <c r="D97" s="23"/>
      <c r="E97" s="23"/>
      <c r="F97" s="182">
        <f>D98-D59</f>
        <v>0</v>
      </c>
    </row>
    <row r="98" spans="1:6" ht="36" customHeight="1">
      <c r="A98" s="52" t="s">
        <v>138</v>
      </c>
      <c r="B98" s="33">
        <v>440</v>
      </c>
      <c r="C98" s="34"/>
      <c r="D98" s="35">
        <f>D61+D81</f>
        <v>153260125642</v>
      </c>
      <c r="E98" s="35">
        <f>E61+E81</f>
        <v>141588568104</v>
      </c>
      <c r="F98" s="182">
        <f>E98-E59</f>
        <v>0</v>
      </c>
    </row>
    <row r="99" spans="1:5" ht="6" customHeight="1">
      <c r="A99" s="53"/>
      <c r="B99" s="54"/>
      <c r="C99" s="55"/>
      <c r="D99" s="56"/>
      <c r="E99" s="56"/>
    </row>
    <row r="100" spans="1:5" ht="30" customHeight="1">
      <c r="A100" s="57"/>
      <c r="B100" s="200" t="s">
        <v>348</v>
      </c>
      <c r="C100" s="200"/>
      <c r="D100" s="200"/>
      <c r="E100" s="200"/>
    </row>
    <row r="101" spans="1:5" s="58" customFormat="1" ht="28.5" customHeight="1">
      <c r="A101" s="202" t="s">
        <v>139</v>
      </c>
      <c r="B101" s="202"/>
      <c r="C101" s="202"/>
      <c r="D101" s="203" t="s">
        <v>140</v>
      </c>
      <c r="E101" s="203"/>
    </row>
    <row r="102" spans="1:5" s="60" customFormat="1" ht="18.75" customHeight="1">
      <c r="A102" s="204"/>
      <c r="B102" s="204"/>
      <c r="C102" s="204"/>
      <c r="D102" s="204"/>
      <c r="E102" s="204"/>
    </row>
    <row r="103" spans="1:5" s="60" customFormat="1" ht="18.75" customHeight="1">
      <c r="A103" s="59"/>
      <c r="B103" s="59"/>
      <c r="C103" s="59"/>
      <c r="D103" s="61"/>
      <c r="E103" s="61"/>
    </row>
    <row r="104" spans="1:5" s="60" customFormat="1" ht="18.75" customHeight="1">
      <c r="A104" s="59"/>
      <c r="B104" s="59"/>
      <c r="C104" s="59"/>
      <c r="D104" s="61"/>
      <c r="E104" s="61"/>
    </row>
    <row r="105" spans="4:5" s="15" customFormat="1" ht="18.75" customHeight="1">
      <c r="D105" s="62"/>
      <c r="E105" s="62"/>
    </row>
    <row r="106" spans="4:5" s="15" customFormat="1" ht="10.5" customHeight="1">
      <c r="D106" s="62">
        <f>D59-D98</f>
        <v>0</v>
      </c>
      <c r="E106" s="62"/>
    </row>
    <row r="107" spans="1:5" s="15" customFormat="1" ht="34.5" customHeight="1">
      <c r="A107" s="201" t="s">
        <v>141</v>
      </c>
      <c r="B107" s="201"/>
      <c r="C107" s="201"/>
      <c r="D107" s="201"/>
      <c r="E107" s="201"/>
    </row>
  </sheetData>
  <mergeCells count="9">
    <mergeCell ref="A107:E107"/>
    <mergeCell ref="B100:E100"/>
    <mergeCell ref="A101:C101"/>
    <mergeCell ref="D101:E101"/>
    <mergeCell ref="A102:E102"/>
    <mergeCell ref="A1:D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B1"/>
    </sheetView>
  </sheetViews>
  <sheetFormatPr defaultColWidth="8.796875" defaultRowHeight="15"/>
  <cols>
    <col min="1" max="1" width="50.19921875" style="96" customWidth="1"/>
    <col min="2" max="2" width="10" style="96" customWidth="1"/>
    <col min="3" max="3" width="14.8984375" style="96" customWidth="1"/>
    <col min="4" max="4" width="14.3984375" style="96" customWidth="1"/>
    <col min="5" max="16384" width="9" style="96" customWidth="1"/>
  </cols>
  <sheetData>
    <row r="1" spans="1:4" ht="19.5" customHeight="1">
      <c r="A1" s="211" t="s">
        <v>142</v>
      </c>
      <c r="B1" s="211"/>
      <c r="C1" s="63"/>
      <c r="D1" s="63"/>
    </row>
    <row r="2" spans="1:4" ht="24.75" customHeight="1">
      <c r="A2" s="212" t="s">
        <v>143</v>
      </c>
      <c r="B2" s="212"/>
      <c r="C2" s="212"/>
      <c r="D2" s="212"/>
    </row>
    <row r="3" spans="1:4" ht="19.5" customHeight="1">
      <c r="A3" s="212" t="s">
        <v>2</v>
      </c>
      <c r="B3" s="212"/>
      <c r="C3" s="212"/>
      <c r="D3" s="212"/>
    </row>
    <row r="4" spans="1:4" ht="19.5" customHeight="1">
      <c r="A4" s="213" t="s">
        <v>144</v>
      </c>
      <c r="B4" s="213"/>
      <c r="C4" s="213"/>
      <c r="D4" s="213"/>
    </row>
    <row r="5" spans="1:4" ht="19.5" customHeight="1">
      <c r="A5" s="64"/>
      <c r="B5" s="207" t="s">
        <v>145</v>
      </c>
      <c r="C5" s="207"/>
      <c r="D5" s="207"/>
    </row>
    <row r="6" spans="1:4" ht="36" customHeight="1">
      <c r="A6" s="65" t="s">
        <v>146</v>
      </c>
      <c r="B6" s="65" t="s">
        <v>5</v>
      </c>
      <c r="C6" s="66" t="s">
        <v>147</v>
      </c>
      <c r="D6" s="66" t="s">
        <v>148</v>
      </c>
    </row>
    <row r="7" spans="1:4" ht="18.75" customHeight="1">
      <c r="A7" s="67">
        <v>1</v>
      </c>
      <c r="B7" s="67">
        <v>2</v>
      </c>
      <c r="C7" s="67">
        <v>3</v>
      </c>
      <c r="D7" s="68">
        <v>4</v>
      </c>
    </row>
    <row r="8" spans="1:9" ht="18.75" customHeight="1">
      <c r="A8" s="69" t="s">
        <v>149</v>
      </c>
      <c r="B8" s="70" t="s">
        <v>150</v>
      </c>
      <c r="C8" s="71">
        <f>4114285714+24630954+245144830+428880+73543448</f>
        <v>4458033826</v>
      </c>
      <c r="D8" s="72">
        <f>'[1]VPquy I'!C9</f>
        <v>9013280103</v>
      </c>
      <c r="E8" s="208"/>
      <c r="F8" s="209"/>
      <c r="G8" s="209"/>
      <c r="H8" s="209"/>
      <c r="I8" s="209"/>
    </row>
    <row r="9" spans="1:8" ht="18.75" customHeight="1">
      <c r="A9" s="73" t="s">
        <v>151</v>
      </c>
      <c r="B9" s="74" t="s">
        <v>152</v>
      </c>
      <c r="C9" s="75"/>
      <c r="D9" s="76">
        <v>7500937500</v>
      </c>
      <c r="E9" s="208"/>
      <c r="F9" s="209"/>
      <c r="G9" s="209"/>
      <c r="H9" s="209"/>
    </row>
    <row r="10" spans="1:4" ht="18.75" customHeight="1">
      <c r="A10" s="77" t="s">
        <v>153</v>
      </c>
      <c r="B10" s="78" t="s">
        <v>154</v>
      </c>
      <c r="C10" s="79">
        <f>SUM(C11:C14)</f>
        <v>73543448</v>
      </c>
      <c r="D10" s="79">
        <f>SUM(D11:D14)</f>
        <v>1358300272</v>
      </c>
    </row>
    <row r="11" spans="1:4" ht="18.75" customHeight="1">
      <c r="A11" s="73" t="s">
        <v>155</v>
      </c>
      <c r="B11" s="74" t="s">
        <v>156</v>
      </c>
      <c r="C11" s="75"/>
      <c r="D11" s="76"/>
    </row>
    <row r="12" spans="1:4" ht="18.75" customHeight="1">
      <c r="A12" s="73" t="s">
        <v>157</v>
      </c>
      <c r="B12" s="74" t="s">
        <v>158</v>
      </c>
      <c r="C12" s="75"/>
      <c r="D12" s="79"/>
    </row>
    <row r="13" spans="1:4" ht="18.75" customHeight="1">
      <c r="A13" s="73" t="s">
        <v>159</v>
      </c>
      <c r="B13" s="74" t="s">
        <v>160</v>
      </c>
      <c r="C13" s="80">
        <v>73543448</v>
      </c>
      <c r="D13" s="76">
        <v>233159647</v>
      </c>
    </row>
    <row r="14" spans="1:4" ht="18.75" customHeight="1">
      <c r="A14" s="73" t="s">
        <v>161</v>
      </c>
      <c r="B14" s="74" t="s">
        <v>162</v>
      </c>
      <c r="C14" s="75"/>
      <c r="D14" s="76">
        <v>1125140625</v>
      </c>
    </row>
    <row r="15" spans="1:4" ht="36" customHeight="1">
      <c r="A15" s="77" t="s">
        <v>163</v>
      </c>
      <c r="B15" s="78" t="s">
        <v>164</v>
      </c>
      <c r="C15" s="81">
        <f>C8-C10</f>
        <v>4384490378</v>
      </c>
      <c r="D15" s="79">
        <f>D8-D10</f>
        <v>7654979831</v>
      </c>
    </row>
    <row r="16" spans="1:4" s="97" customFormat="1" ht="19.5" customHeight="1">
      <c r="A16" s="73" t="s">
        <v>165</v>
      </c>
      <c r="B16" s="74" t="s">
        <v>166</v>
      </c>
      <c r="C16" s="80">
        <f>2929528984+357944812+241190210+17695165+143916034+86386778-285393250-381039884</f>
        <v>3110228849</v>
      </c>
      <c r="D16" s="76">
        <f>4807039383+52730118+721435897+71649818+22162452-331356168+99263556</f>
        <v>5442925056</v>
      </c>
    </row>
    <row r="17" spans="1:4" ht="36" customHeight="1">
      <c r="A17" s="77" t="s">
        <v>167</v>
      </c>
      <c r="B17" s="78" t="s">
        <v>168</v>
      </c>
      <c r="C17" s="81">
        <f>C15-C16</f>
        <v>1274261529</v>
      </c>
      <c r="D17" s="79">
        <f>D15-D16</f>
        <v>2212054775</v>
      </c>
    </row>
    <row r="18" spans="1:4" s="97" customFormat="1" ht="18.75" customHeight="1">
      <c r="A18" s="73" t="s">
        <v>169</v>
      </c>
      <c r="B18" s="74" t="s">
        <v>170</v>
      </c>
      <c r="C18" s="80">
        <v>11655973</v>
      </c>
      <c r="D18" s="76">
        <v>365290619</v>
      </c>
    </row>
    <row r="19" spans="1:4" s="97" customFormat="1" ht="18.75" customHeight="1">
      <c r="A19" s="73" t="s">
        <v>171</v>
      </c>
      <c r="B19" s="74" t="s">
        <v>172</v>
      </c>
      <c r="C19" s="80">
        <v>68301324</v>
      </c>
      <c r="D19" s="76"/>
    </row>
    <row r="20" spans="1:4" ht="18.75" customHeight="1">
      <c r="A20" s="73" t="s">
        <v>173</v>
      </c>
      <c r="B20" s="74" t="s">
        <v>174</v>
      </c>
      <c r="C20" s="80">
        <v>68301324</v>
      </c>
      <c r="D20" s="82">
        <f>D19</f>
        <v>0</v>
      </c>
    </row>
    <row r="21" spans="1:4" s="97" customFormat="1" ht="18.75" customHeight="1">
      <c r="A21" s="73" t="s">
        <v>175</v>
      </c>
      <c r="B21" s="74" t="s">
        <v>176</v>
      </c>
      <c r="C21" s="80">
        <f>101696127+73883640</f>
        <v>175579767</v>
      </c>
      <c r="D21" s="76">
        <v>718309402</v>
      </c>
    </row>
    <row r="22" spans="1:4" s="97" customFormat="1" ht="18.75" customHeight="1">
      <c r="A22" s="73" t="s">
        <v>177</v>
      </c>
      <c r="B22" s="74" t="s">
        <v>178</v>
      </c>
      <c r="C22" s="80">
        <v>666904740</v>
      </c>
      <c r="D22" s="76">
        <v>1437624677</v>
      </c>
    </row>
    <row r="23" spans="1:4" ht="18.75" customHeight="1">
      <c r="A23" s="77" t="s">
        <v>179</v>
      </c>
      <c r="B23" s="78" t="s">
        <v>180</v>
      </c>
      <c r="C23" s="81">
        <f>C17+C18-C19-C21-C22</f>
        <v>375131671</v>
      </c>
      <c r="D23" s="79">
        <f>D17+D18-D19-D21-D22</f>
        <v>421411315</v>
      </c>
    </row>
    <row r="24" spans="1:4" ht="18.75" customHeight="1">
      <c r="A24" s="77" t="s">
        <v>181</v>
      </c>
      <c r="B24" s="78"/>
      <c r="C24" s="83"/>
      <c r="D24" s="79"/>
    </row>
    <row r="25" spans="1:4" s="97" customFormat="1" ht="18.75" customHeight="1">
      <c r="A25" s="73" t="s">
        <v>182</v>
      </c>
      <c r="B25" s="74" t="s">
        <v>183</v>
      </c>
      <c r="C25" s="80">
        <v>39855926</v>
      </c>
      <c r="D25" s="76">
        <v>102020000</v>
      </c>
    </row>
    <row r="26" spans="1:4" s="97" customFormat="1" ht="18.75" customHeight="1">
      <c r="A26" s="73" t="s">
        <v>184</v>
      </c>
      <c r="B26" s="74">
        <v>32</v>
      </c>
      <c r="C26" s="80">
        <v>5710240</v>
      </c>
      <c r="D26" s="76">
        <v>8022179</v>
      </c>
    </row>
    <row r="27" spans="1:4" s="97" customFormat="1" ht="18.75" customHeight="1">
      <c r="A27" s="73" t="s">
        <v>185</v>
      </c>
      <c r="B27" s="74" t="s">
        <v>186</v>
      </c>
      <c r="C27" s="80">
        <f>C25-C26</f>
        <v>34145686</v>
      </c>
      <c r="D27" s="84">
        <v>93997821</v>
      </c>
    </row>
    <row r="28" spans="1:4" ht="18.75" customHeight="1">
      <c r="A28" s="77" t="s">
        <v>187</v>
      </c>
      <c r="B28" s="78" t="s">
        <v>188</v>
      </c>
      <c r="C28" s="81">
        <f>C23+C27</f>
        <v>409277357</v>
      </c>
      <c r="D28" s="79">
        <f>D23+D27</f>
        <v>515409136</v>
      </c>
    </row>
    <row r="29" spans="1:4" ht="18.75" customHeight="1">
      <c r="A29" s="73" t="s">
        <v>189</v>
      </c>
      <c r="B29" s="85" t="s">
        <v>190</v>
      </c>
      <c r="C29" s="86">
        <f>C28*0.1</f>
        <v>40927735.7</v>
      </c>
      <c r="D29" s="82">
        <f>D28*0.1</f>
        <v>51540913.6</v>
      </c>
    </row>
    <row r="30" spans="1:4" ht="18.75" customHeight="1">
      <c r="A30" s="87" t="s">
        <v>191</v>
      </c>
      <c r="B30" s="88" t="s">
        <v>192</v>
      </c>
      <c r="C30" s="89">
        <f>C28-C29</f>
        <v>368349621.3</v>
      </c>
      <c r="D30" s="90">
        <f>D28-D29</f>
        <v>463868222.4</v>
      </c>
    </row>
    <row r="31" spans="1:4" ht="10.5" customHeight="1">
      <c r="A31" s="91"/>
      <c r="B31" s="92"/>
      <c r="C31" s="92"/>
      <c r="D31" s="92"/>
    </row>
    <row r="32" spans="1:4" ht="19.5" customHeight="1">
      <c r="A32" s="210" t="s">
        <v>347</v>
      </c>
      <c r="B32" s="210"/>
      <c r="C32" s="210"/>
      <c r="D32" s="210"/>
    </row>
    <row r="33" spans="1:4" s="98" customFormat="1" ht="19.5" customHeight="1">
      <c r="A33" s="93" t="s">
        <v>193</v>
      </c>
      <c r="B33" s="205" t="s">
        <v>194</v>
      </c>
      <c r="C33" s="205"/>
      <c r="D33" s="205"/>
    </row>
    <row r="34" s="94" customFormat="1" ht="19.5" customHeight="1">
      <c r="D34" s="95"/>
    </row>
    <row r="35" s="94" customFormat="1" ht="19.5" customHeight="1">
      <c r="D35" s="95"/>
    </row>
    <row r="36" s="94" customFormat="1" ht="19.5" customHeight="1">
      <c r="D36" s="95"/>
    </row>
    <row r="37" s="94" customFormat="1" ht="17.25" customHeight="1">
      <c r="D37" s="95"/>
    </row>
    <row r="38" spans="1:4" s="94" customFormat="1" ht="19.5" customHeight="1">
      <c r="A38" s="94" t="s">
        <v>195</v>
      </c>
      <c r="B38" s="205" t="s">
        <v>196</v>
      </c>
      <c r="C38" s="205"/>
      <c r="D38" s="205"/>
    </row>
    <row r="39" spans="1:4" s="94" customFormat="1" ht="19.5" customHeight="1">
      <c r="A39" s="93"/>
      <c r="B39" s="206"/>
      <c r="C39" s="206"/>
      <c r="D39" s="206"/>
    </row>
  </sheetData>
  <mergeCells count="11">
    <mergeCell ref="E8:I8"/>
    <mergeCell ref="E9:H9"/>
    <mergeCell ref="A32:D32"/>
    <mergeCell ref="A1:B1"/>
    <mergeCell ref="A2:D2"/>
    <mergeCell ref="A3:D3"/>
    <mergeCell ref="A4:D4"/>
    <mergeCell ref="B33:D33"/>
    <mergeCell ref="B38:D38"/>
    <mergeCell ref="B39:D39"/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A2" sqref="A2:G2"/>
    </sheetView>
  </sheetViews>
  <sheetFormatPr defaultColWidth="8.796875" defaultRowHeight="15"/>
  <cols>
    <col min="1" max="1" width="10.69921875" style="99" customWidth="1"/>
    <col min="2" max="2" width="15" style="99" customWidth="1"/>
    <col min="3" max="4" width="15.59765625" style="99" customWidth="1"/>
    <col min="5" max="5" width="13.19921875" style="99" customWidth="1"/>
    <col min="6" max="6" width="15.69921875" style="99" customWidth="1"/>
    <col min="7" max="7" width="20.19921875" style="99" customWidth="1"/>
    <col min="8" max="16384" width="9" style="99" customWidth="1"/>
  </cols>
  <sheetData>
    <row r="1" spans="1:7" ht="19.5" customHeight="1">
      <c r="A1" s="311" t="s">
        <v>202</v>
      </c>
      <c r="B1" s="311"/>
      <c r="C1" s="311"/>
      <c r="D1" s="311"/>
      <c r="E1" s="311"/>
      <c r="F1" s="311"/>
      <c r="G1" s="311"/>
    </row>
    <row r="2" spans="1:7" ht="24.75" customHeight="1">
      <c r="A2" s="212" t="s">
        <v>203</v>
      </c>
      <c r="B2" s="212"/>
      <c r="C2" s="212"/>
      <c r="D2" s="212"/>
      <c r="E2" s="212"/>
      <c r="F2" s="212"/>
      <c r="G2" s="212"/>
    </row>
    <row r="3" spans="1:7" ht="19.5" customHeight="1">
      <c r="A3" s="212" t="s">
        <v>204</v>
      </c>
      <c r="B3" s="212"/>
      <c r="C3" s="212"/>
      <c r="D3" s="212"/>
      <c r="E3" s="212"/>
      <c r="F3" s="212"/>
      <c r="G3" s="212"/>
    </row>
    <row r="4" spans="1:7" s="102" customFormat="1" ht="21.75" customHeight="1">
      <c r="A4" s="309" t="s">
        <v>205</v>
      </c>
      <c r="B4" s="309"/>
      <c r="C4" s="309"/>
      <c r="D4" s="309"/>
      <c r="E4" s="309"/>
      <c r="F4" s="101"/>
      <c r="G4" s="101"/>
    </row>
    <row r="5" spans="1:7" ht="21.75" customHeight="1">
      <c r="A5" s="308" t="s">
        <v>206</v>
      </c>
      <c r="B5" s="308"/>
      <c r="C5" s="308"/>
      <c r="D5" s="308"/>
      <c r="E5" s="308"/>
      <c r="F5" s="308"/>
      <c r="G5" s="308"/>
    </row>
    <row r="6" spans="1:7" ht="39.75" customHeight="1">
      <c r="A6" s="310" t="s">
        <v>207</v>
      </c>
      <c r="B6" s="310"/>
      <c r="C6" s="310"/>
      <c r="D6" s="310"/>
      <c r="E6" s="310"/>
      <c r="F6" s="310"/>
      <c r="G6" s="310"/>
    </row>
    <row r="7" spans="1:7" ht="39.75" customHeight="1">
      <c r="A7" s="308" t="s">
        <v>208</v>
      </c>
      <c r="B7" s="308"/>
      <c r="C7" s="308"/>
      <c r="D7" s="308"/>
      <c r="E7" s="308"/>
      <c r="F7" s="308"/>
      <c r="G7" s="308"/>
    </row>
    <row r="8" spans="1:7" s="102" customFormat="1" ht="21.75" customHeight="1">
      <c r="A8" s="309" t="s">
        <v>209</v>
      </c>
      <c r="B8" s="309"/>
      <c r="C8" s="309"/>
      <c r="D8" s="309"/>
      <c r="E8" s="309"/>
      <c r="F8" s="309"/>
      <c r="G8" s="309"/>
    </row>
    <row r="9" spans="1:7" s="102" customFormat="1" ht="39.75" customHeight="1">
      <c r="A9" s="310" t="s">
        <v>210</v>
      </c>
      <c r="B9" s="310"/>
      <c r="C9" s="310"/>
      <c r="D9" s="310"/>
      <c r="E9" s="310"/>
      <c r="F9" s="310"/>
      <c r="G9" s="310"/>
    </row>
    <row r="10" spans="1:7" ht="21.75" customHeight="1">
      <c r="A10" s="308" t="s">
        <v>211</v>
      </c>
      <c r="B10" s="308"/>
      <c r="C10" s="308"/>
      <c r="D10" s="308"/>
      <c r="E10" s="308"/>
      <c r="F10" s="308"/>
      <c r="G10" s="308"/>
    </row>
    <row r="11" spans="1:7" s="102" customFormat="1" ht="21.75" customHeight="1">
      <c r="A11" s="309" t="s">
        <v>212</v>
      </c>
      <c r="B11" s="309"/>
      <c r="C11" s="309"/>
      <c r="D11" s="309"/>
      <c r="E11" s="309"/>
      <c r="F11" s="101"/>
      <c r="G11" s="101"/>
    </row>
    <row r="12" spans="1:7" s="102" customFormat="1" ht="39.75" customHeight="1">
      <c r="A12" s="310" t="s">
        <v>213</v>
      </c>
      <c r="B12" s="310"/>
      <c r="C12" s="310"/>
      <c r="D12" s="310"/>
      <c r="E12" s="310"/>
      <c r="F12" s="310"/>
      <c r="G12" s="310"/>
    </row>
    <row r="13" spans="1:7" s="102" customFormat="1" ht="21.75" customHeight="1">
      <c r="A13" s="310" t="s">
        <v>214</v>
      </c>
      <c r="B13" s="310"/>
      <c r="C13" s="310"/>
      <c r="D13" s="310"/>
      <c r="E13" s="310"/>
      <c r="F13" s="310"/>
      <c r="G13" s="310"/>
    </row>
    <row r="14" spans="1:7" ht="21.75" customHeight="1">
      <c r="A14" s="308" t="s">
        <v>215</v>
      </c>
      <c r="B14" s="308"/>
      <c r="C14" s="308"/>
      <c r="D14" s="308"/>
      <c r="E14" s="308"/>
      <c r="F14" s="103"/>
      <c r="G14" s="103"/>
    </row>
    <row r="15" spans="1:7" s="102" customFormat="1" ht="21.75" customHeight="1">
      <c r="A15" s="309" t="s">
        <v>216</v>
      </c>
      <c r="B15" s="309"/>
      <c r="C15" s="309"/>
      <c r="D15" s="309"/>
      <c r="E15" s="309"/>
      <c r="F15" s="101"/>
      <c r="G15" s="101"/>
    </row>
    <row r="16" spans="1:7" s="102" customFormat="1" ht="21.75" customHeight="1">
      <c r="A16" s="310" t="s">
        <v>217</v>
      </c>
      <c r="B16" s="310"/>
      <c r="C16" s="310"/>
      <c r="D16" s="310"/>
      <c r="E16" s="310"/>
      <c r="F16" s="310"/>
      <c r="G16" s="310"/>
    </row>
    <row r="17" spans="1:7" s="102" customFormat="1" ht="39.75" customHeight="1">
      <c r="A17" s="308" t="s">
        <v>218</v>
      </c>
      <c r="B17" s="308"/>
      <c r="C17" s="308"/>
      <c r="D17" s="308"/>
      <c r="E17" s="308"/>
      <c r="F17" s="308"/>
      <c r="G17" s="308"/>
    </row>
    <row r="18" spans="1:7" ht="21.75" customHeight="1">
      <c r="A18" s="308" t="s">
        <v>219</v>
      </c>
      <c r="B18" s="308"/>
      <c r="C18" s="308"/>
      <c r="D18" s="308"/>
      <c r="E18" s="308"/>
      <c r="F18" s="103"/>
      <c r="G18" s="103"/>
    </row>
    <row r="19" spans="1:7" ht="60" customHeight="1">
      <c r="A19" s="308" t="s">
        <v>220</v>
      </c>
      <c r="B19" s="308"/>
      <c r="C19" s="308"/>
      <c r="D19" s="308"/>
      <c r="E19" s="308"/>
      <c r="F19" s="308"/>
      <c r="G19" s="308"/>
    </row>
    <row r="20" spans="1:7" ht="36" customHeight="1">
      <c r="A20" s="308" t="s">
        <v>221</v>
      </c>
      <c r="B20" s="308"/>
      <c r="C20" s="308"/>
      <c r="D20" s="308"/>
      <c r="E20" s="308"/>
      <c r="F20" s="308"/>
      <c r="G20" s="308"/>
    </row>
    <row r="21" spans="1:7" ht="21.75" customHeight="1">
      <c r="A21" s="308" t="s">
        <v>222</v>
      </c>
      <c r="B21" s="308"/>
      <c r="C21" s="308"/>
      <c r="D21" s="308"/>
      <c r="E21" s="308"/>
      <c r="F21" s="308"/>
      <c r="G21" s="308"/>
    </row>
    <row r="22" spans="1:7" ht="39.75" customHeight="1">
      <c r="A22" s="308" t="s">
        <v>223</v>
      </c>
      <c r="B22" s="308"/>
      <c r="C22" s="308"/>
      <c r="D22" s="308"/>
      <c r="E22" s="308"/>
      <c r="F22" s="308"/>
      <c r="G22" s="308"/>
    </row>
    <row r="23" spans="1:7" ht="21.75" customHeight="1">
      <c r="A23" s="308" t="s">
        <v>224</v>
      </c>
      <c r="B23" s="308"/>
      <c r="C23" s="308"/>
      <c r="D23" s="308"/>
      <c r="E23" s="308"/>
      <c r="F23" s="103"/>
      <c r="G23" s="103"/>
    </row>
    <row r="24" spans="1:7" ht="39.75" customHeight="1">
      <c r="A24" s="308" t="s">
        <v>225</v>
      </c>
      <c r="B24" s="308"/>
      <c r="C24" s="308"/>
      <c r="D24" s="308"/>
      <c r="E24" s="308"/>
      <c r="F24" s="308"/>
      <c r="G24" s="308"/>
    </row>
    <row r="25" spans="1:7" ht="39.75" customHeight="1">
      <c r="A25" s="308" t="s">
        <v>226</v>
      </c>
      <c r="B25" s="308"/>
      <c r="C25" s="308"/>
      <c r="D25" s="308"/>
      <c r="E25" s="308"/>
      <c r="F25" s="308"/>
      <c r="G25" s="308"/>
    </row>
    <row r="26" spans="1:7" ht="21.75" customHeight="1">
      <c r="A26" s="308" t="s">
        <v>227</v>
      </c>
      <c r="B26" s="308"/>
      <c r="C26" s="308"/>
      <c r="D26" s="308"/>
      <c r="E26" s="308"/>
      <c r="F26" s="103"/>
      <c r="G26" s="103"/>
    </row>
    <row r="27" spans="1:7" ht="39.75" customHeight="1">
      <c r="A27" s="308" t="s">
        <v>228</v>
      </c>
      <c r="B27" s="308"/>
      <c r="C27" s="308"/>
      <c r="D27" s="308"/>
      <c r="E27" s="308"/>
      <c r="F27" s="308"/>
      <c r="G27" s="308"/>
    </row>
    <row r="28" spans="1:7" ht="21.75" customHeight="1">
      <c r="A28" s="308" t="s">
        <v>229</v>
      </c>
      <c r="B28" s="308"/>
      <c r="C28" s="308"/>
      <c r="D28" s="308"/>
      <c r="E28" s="308"/>
      <c r="F28" s="103"/>
      <c r="G28" s="103"/>
    </row>
    <row r="29" spans="1:7" ht="39.75" customHeight="1">
      <c r="A29" s="308" t="s">
        <v>230</v>
      </c>
      <c r="B29" s="308"/>
      <c r="C29" s="308"/>
      <c r="D29" s="308"/>
      <c r="E29" s="308"/>
      <c r="F29" s="308"/>
      <c r="G29" s="308"/>
    </row>
    <row r="30" spans="1:7" ht="39.75" customHeight="1">
      <c r="A30" s="308" t="s">
        <v>231</v>
      </c>
      <c r="B30" s="308"/>
      <c r="C30" s="308"/>
      <c r="D30" s="308"/>
      <c r="E30" s="308"/>
      <c r="F30" s="308"/>
      <c r="G30" s="308"/>
    </row>
    <row r="31" spans="1:7" ht="39.75" customHeight="1">
      <c r="A31" s="308" t="s">
        <v>232</v>
      </c>
      <c r="B31" s="308"/>
      <c r="C31" s="308"/>
      <c r="D31" s="308"/>
      <c r="E31" s="308"/>
      <c r="F31" s="308"/>
      <c r="G31" s="308"/>
    </row>
    <row r="32" spans="1:7" ht="21" customHeight="1">
      <c r="A32" s="309" t="s">
        <v>233</v>
      </c>
      <c r="B32" s="309"/>
      <c r="C32" s="309"/>
      <c r="D32" s="309"/>
      <c r="E32" s="309"/>
      <c r="F32" s="309"/>
      <c r="G32" s="309"/>
    </row>
    <row r="33" spans="1:7" ht="21" customHeight="1">
      <c r="A33" s="100"/>
      <c r="B33" s="100"/>
      <c r="C33" s="100"/>
      <c r="D33" s="100"/>
      <c r="E33" s="307" t="s">
        <v>198</v>
      </c>
      <c r="F33" s="307"/>
      <c r="G33" s="307"/>
    </row>
    <row r="34" spans="1:7" s="102" customFormat="1" ht="27.75" customHeight="1">
      <c r="A34" s="254" t="s">
        <v>234</v>
      </c>
      <c r="B34" s="255"/>
      <c r="C34" s="256"/>
      <c r="D34" s="297" t="s">
        <v>7</v>
      </c>
      <c r="E34" s="297"/>
      <c r="F34" s="297" t="s">
        <v>8</v>
      </c>
      <c r="G34" s="297"/>
    </row>
    <row r="35" spans="1:7" ht="21" customHeight="1">
      <c r="A35" s="305" t="s">
        <v>235</v>
      </c>
      <c r="B35" s="306"/>
      <c r="C35" s="104"/>
      <c r="D35" s="220">
        <v>716183835</v>
      </c>
      <c r="E35" s="221"/>
      <c r="F35" s="220">
        <v>825595117</v>
      </c>
      <c r="G35" s="221"/>
    </row>
    <row r="36" spans="1:7" ht="21" customHeight="1">
      <c r="A36" s="227" t="s">
        <v>236</v>
      </c>
      <c r="B36" s="227"/>
      <c r="C36" s="227"/>
      <c r="D36" s="220">
        <v>5130025192</v>
      </c>
      <c r="E36" s="221"/>
      <c r="F36" s="214">
        <v>994194715</v>
      </c>
      <c r="G36" s="215"/>
    </row>
    <row r="37" spans="1:7" ht="21" customHeight="1">
      <c r="A37" s="227" t="s">
        <v>237</v>
      </c>
      <c r="B37" s="227"/>
      <c r="C37" s="227"/>
      <c r="D37" s="214"/>
      <c r="E37" s="215"/>
      <c r="F37" s="214"/>
      <c r="G37" s="215"/>
    </row>
    <row r="38" spans="1:7" s="102" customFormat="1" ht="21" customHeight="1">
      <c r="A38" s="304" t="s">
        <v>238</v>
      </c>
      <c r="B38" s="304"/>
      <c r="C38" s="304"/>
      <c r="D38" s="295">
        <f>SUM(D35:E37)</f>
        <v>5846209027</v>
      </c>
      <c r="E38" s="296"/>
      <c r="F38" s="295">
        <f>F35+F36</f>
        <v>1819789832</v>
      </c>
      <c r="G38" s="296"/>
    </row>
    <row r="39" spans="1:7" ht="21" customHeight="1">
      <c r="A39" s="105"/>
      <c r="B39" s="105"/>
      <c r="C39" s="105"/>
      <c r="D39" s="106"/>
      <c r="E39" s="106"/>
      <c r="F39" s="106"/>
      <c r="G39" s="106"/>
    </row>
    <row r="40" spans="1:7" s="102" customFormat="1" ht="28.5" customHeight="1">
      <c r="A40" s="254" t="s">
        <v>239</v>
      </c>
      <c r="B40" s="255"/>
      <c r="C40" s="256"/>
      <c r="D40" s="297" t="s">
        <v>7</v>
      </c>
      <c r="E40" s="297"/>
      <c r="F40" s="297" t="s">
        <v>8</v>
      </c>
      <c r="G40" s="297"/>
    </row>
    <row r="41" spans="1:7" ht="39.75" customHeight="1">
      <c r="A41" s="298" t="s">
        <v>240</v>
      </c>
      <c r="B41" s="299"/>
      <c r="C41" s="300"/>
      <c r="D41" s="214">
        <v>495937088</v>
      </c>
      <c r="E41" s="215"/>
      <c r="F41" s="214">
        <v>495937088</v>
      </c>
      <c r="G41" s="215"/>
    </row>
    <row r="42" spans="1:7" ht="21" customHeight="1">
      <c r="A42" s="298" t="s">
        <v>241</v>
      </c>
      <c r="B42" s="299"/>
      <c r="C42" s="300"/>
      <c r="D42" s="214">
        <v>383770147</v>
      </c>
      <c r="E42" s="215"/>
      <c r="F42" s="214">
        <v>383770147</v>
      </c>
      <c r="G42" s="215"/>
    </row>
    <row r="43" spans="1:7" ht="21" customHeight="1">
      <c r="A43" s="298" t="s">
        <v>242</v>
      </c>
      <c r="B43" s="299"/>
      <c r="C43" s="300"/>
      <c r="D43" s="214">
        <v>76979032</v>
      </c>
      <c r="E43" s="215"/>
      <c r="F43" s="214">
        <v>76979032</v>
      </c>
      <c r="G43" s="215"/>
    </row>
    <row r="44" spans="1:7" ht="21" customHeight="1">
      <c r="A44" s="298" t="s">
        <v>243</v>
      </c>
      <c r="B44" s="299"/>
      <c r="C44" s="300"/>
      <c r="D44" s="214">
        <f>642815000+26000000</f>
        <v>668815000</v>
      </c>
      <c r="E44" s="215"/>
      <c r="F44" s="214">
        <f>D44-26000000</f>
        <v>642815000</v>
      </c>
      <c r="G44" s="215"/>
    </row>
    <row r="45" spans="1:7" ht="21" customHeight="1">
      <c r="A45" s="298" t="s">
        <v>244</v>
      </c>
      <c r="B45" s="299"/>
      <c r="C45" s="300"/>
      <c r="D45" s="214"/>
      <c r="E45" s="215"/>
      <c r="F45" s="214">
        <v>900000000</v>
      </c>
      <c r="G45" s="215"/>
    </row>
    <row r="46" spans="1:7" ht="21" customHeight="1">
      <c r="A46" s="298" t="s">
        <v>245</v>
      </c>
      <c r="B46" s="299"/>
      <c r="C46" s="300"/>
      <c r="D46" s="214">
        <f>F46</f>
        <v>164070963</v>
      </c>
      <c r="E46" s="215"/>
      <c r="F46" s="214">
        <v>164070963</v>
      </c>
      <c r="G46" s="215"/>
    </row>
    <row r="47" spans="1:7" ht="39.75" customHeight="1">
      <c r="A47" s="298" t="s">
        <v>246</v>
      </c>
      <c r="B47" s="299"/>
      <c r="C47" s="300"/>
      <c r="D47" s="214">
        <v>247566991</v>
      </c>
      <c r="E47" s="215"/>
      <c r="F47" s="214">
        <v>247566991</v>
      </c>
      <c r="G47" s="215"/>
    </row>
    <row r="48" spans="1:7" ht="21" customHeight="1">
      <c r="A48" s="298" t="s">
        <v>247</v>
      </c>
      <c r="B48" s="299"/>
      <c r="C48" s="300"/>
      <c r="D48" s="214">
        <f>2530251910-D41-D42-D43-D44-D46-D47+2211395</f>
        <v>495324084</v>
      </c>
      <c r="E48" s="215"/>
      <c r="F48" s="214">
        <f>3195895169-F41-F42-F43-F44-F45-F47-F46+1641837</f>
        <v>286397785</v>
      </c>
      <c r="G48" s="215"/>
    </row>
    <row r="49" spans="1:7" s="102" customFormat="1" ht="21" customHeight="1">
      <c r="A49" s="293" t="s">
        <v>238</v>
      </c>
      <c r="B49" s="294"/>
      <c r="C49" s="107"/>
      <c r="D49" s="295">
        <f>SUM(D41:E48)</f>
        <v>2532463305</v>
      </c>
      <c r="E49" s="296"/>
      <c r="F49" s="295">
        <f>SUM(F41:G48)</f>
        <v>3197537006</v>
      </c>
      <c r="G49" s="296"/>
    </row>
    <row r="50" spans="1:7" s="102" customFormat="1" ht="21" customHeight="1">
      <c r="A50" s="105"/>
      <c r="B50" s="105"/>
      <c r="C50" s="109"/>
      <c r="D50" s="110"/>
      <c r="E50" s="110"/>
      <c r="F50" s="110"/>
      <c r="G50" s="110"/>
    </row>
    <row r="51" spans="1:7" s="102" customFormat="1" ht="21" customHeight="1">
      <c r="A51" s="254" t="s">
        <v>248</v>
      </c>
      <c r="B51" s="255"/>
      <c r="C51" s="111"/>
      <c r="D51" s="297" t="s">
        <v>249</v>
      </c>
      <c r="E51" s="297"/>
      <c r="F51" s="297" t="s">
        <v>8</v>
      </c>
      <c r="G51" s="297"/>
    </row>
    <row r="52" spans="1:7" ht="21" customHeight="1">
      <c r="A52" s="298" t="s">
        <v>250</v>
      </c>
      <c r="B52" s="299"/>
      <c r="C52" s="300"/>
      <c r="D52" s="189">
        <v>275934290</v>
      </c>
      <c r="E52" s="219"/>
      <c r="F52" s="189">
        <v>135598290</v>
      </c>
      <c r="G52" s="219"/>
    </row>
    <row r="53" spans="1:7" ht="21" customHeight="1">
      <c r="A53" s="298" t="s">
        <v>251</v>
      </c>
      <c r="B53" s="299"/>
      <c r="C53" s="300"/>
      <c r="D53" s="189">
        <v>12002632515</v>
      </c>
      <c r="E53" s="219"/>
      <c r="F53" s="189">
        <v>11376765383</v>
      </c>
      <c r="G53" s="219"/>
    </row>
    <row r="54" spans="1:7" ht="21" customHeight="1">
      <c r="A54" s="298" t="s">
        <v>252</v>
      </c>
      <c r="B54" s="299"/>
      <c r="C54" s="300"/>
      <c r="D54" s="189">
        <v>419875971</v>
      </c>
      <c r="E54" s="219"/>
      <c r="F54" s="189">
        <v>510273822</v>
      </c>
      <c r="G54" s="219"/>
    </row>
    <row r="55" spans="1:7" ht="21" customHeight="1">
      <c r="A55" s="298" t="s">
        <v>253</v>
      </c>
      <c r="B55" s="299"/>
      <c r="C55" s="300"/>
      <c r="D55" s="189">
        <v>2897419289</v>
      </c>
      <c r="E55" s="219"/>
      <c r="F55" s="189">
        <v>2915322917</v>
      </c>
      <c r="G55" s="219"/>
    </row>
    <row r="56" spans="1:7" ht="21" customHeight="1">
      <c r="A56" s="298" t="s">
        <v>254</v>
      </c>
      <c r="B56" s="299"/>
      <c r="C56" s="300"/>
      <c r="D56" s="189">
        <v>37739965031</v>
      </c>
      <c r="E56" s="219"/>
      <c r="F56" s="189">
        <v>32016117494</v>
      </c>
      <c r="G56" s="219"/>
    </row>
    <row r="57" spans="1:7" ht="21" customHeight="1">
      <c r="A57" s="298" t="s">
        <v>255</v>
      </c>
      <c r="B57" s="299"/>
      <c r="C57" s="300"/>
      <c r="D57" s="189">
        <v>19019175031</v>
      </c>
      <c r="E57" s="219"/>
      <c r="F57" s="189">
        <v>19019175031</v>
      </c>
      <c r="G57" s="219"/>
    </row>
    <row r="58" spans="1:7" ht="21" customHeight="1">
      <c r="A58" s="298" t="s">
        <v>256</v>
      </c>
      <c r="B58" s="299"/>
      <c r="C58" s="112"/>
      <c r="D58" s="189">
        <v>75849356</v>
      </c>
      <c r="E58" s="219"/>
      <c r="F58" s="189">
        <v>75849356</v>
      </c>
      <c r="G58" s="219"/>
    </row>
    <row r="59" spans="1:7" s="102" customFormat="1" ht="21" customHeight="1">
      <c r="A59" s="293" t="s">
        <v>257</v>
      </c>
      <c r="B59" s="294"/>
      <c r="C59" s="302"/>
      <c r="D59" s="303">
        <f>SUM(D52:E58)</f>
        <v>72430851483</v>
      </c>
      <c r="E59" s="303"/>
      <c r="F59" s="303">
        <f>SUM(F52:G58)</f>
        <v>66049102293</v>
      </c>
      <c r="G59" s="303"/>
    </row>
    <row r="60" spans="1:7" s="102" customFormat="1" ht="22.5" customHeight="1">
      <c r="A60" s="273" t="s">
        <v>258</v>
      </c>
      <c r="B60" s="273"/>
      <c r="C60" s="273"/>
      <c r="D60" s="301">
        <f>F60</f>
        <v>-3517500000</v>
      </c>
      <c r="E60" s="301"/>
      <c r="F60" s="216">
        <v>-3517500000</v>
      </c>
      <c r="G60" s="217"/>
    </row>
    <row r="61" spans="1:7" s="102" customFormat="1" ht="22.5" customHeight="1">
      <c r="A61" s="272" t="s">
        <v>259</v>
      </c>
      <c r="B61" s="272"/>
      <c r="C61" s="272"/>
      <c r="D61" s="191">
        <f>D59+D60</f>
        <v>68913351483</v>
      </c>
      <c r="E61" s="191"/>
      <c r="F61" s="218">
        <f>F59+F60</f>
        <v>62531602293</v>
      </c>
      <c r="G61" s="194"/>
    </row>
    <row r="62" spans="1:7" s="102" customFormat="1" ht="2.25" customHeight="1">
      <c r="A62" s="115"/>
      <c r="B62" s="115"/>
      <c r="C62" s="115"/>
      <c r="D62" s="114"/>
      <c r="E62" s="114"/>
      <c r="F62" s="114"/>
      <c r="G62" s="110"/>
    </row>
    <row r="63" spans="1:7" s="102" customFormat="1" ht="21.75" customHeight="1">
      <c r="A63" s="254" t="s">
        <v>260</v>
      </c>
      <c r="B63" s="255"/>
      <c r="C63" s="256"/>
      <c r="D63" s="297" t="s">
        <v>7</v>
      </c>
      <c r="E63" s="297"/>
      <c r="F63" s="297" t="s">
        <v>8</v>
      </c>
      <c r="G63" s="297"/>
    </row>
    <row r="64" spans="1:7" ht="21.75" customHeight="1">
      <c r="A64" s="298" t="s">
        <v>261</v>
      </c>
      <c r="B64" s="299"/>
      <c r="C64" s="300"/>
      <c r="D64" s="189">
        <v>1143909856</v>
      </c>
      <c r="E64" s="219"/>
      <c r="F64" s="189">
        <v>938653877</v>
      </c>
      <c r="G64" s="219"/>
    </row>
    <row r="65" spans="1:7" s="102" customFormat="1" ht="21.75" customHeight="1">
      <c r="A65" s="293" t="s">
        <v>238</v>
      </c>
      <c r="B65" s="294"/>
      <c r="C65" s="107"/>
      <c r="D65" s="295">
        <f>D64</f>
        <v>1143909856</v>
      </c>
      <c r="E65" s="296"/>
      <c r="F65" s="295">
        <f>F64</f>
        <v>938653877</v>
      </c>
      <c r="G65" s="296"/>
    </row>
    <row r="66" spans="1:7" s="102" customFormat="1" ht="21.75" customHeight="1">
      <c r="A66" s="116"/>
      <c r="B66" s="116"/>
      <c r="C66" s="117"/>
      <c r="D66" s="118"/>
      <c r="E66" s="118"/>
      <c r="F66" s="118"/>
      <c r="G66" s="118"/>
    </row>
    <row r="67" spans="1:7" s="102" customFormat="1" ht="21.75" customHeight="1">
      <c r="A67" s="225" t="s">
        <v>262</v>
      </c>
      <c r="B67" s="225"/>
      <c r="C67" s="225"/>
      <c r="D67" s="297" t="s">
        <v>263</v>
      </c>
      <c r="E67" s="297"/>
      <c r="F67" s="297" t="s">
        <v>264</v>
      </c>
      <c r="G67" s="297"/>
    </row>
    <row r="68" spans="1:7" s="124" customFormat="1" ht="21.75" customHeight="1">
      <c r="A68" s="119" t="s">
        <v>265</v>
      </c>
      <c r="B68" s="120"/>
      <c r="C68" s="121"/>
      <c r="D68" s="246">
        <f>1515794951-12342816</f>
        <v>1503452135</v>
      </c>
      <c r="E68" s="262"/>
      <c r="F68" s="246">
        <v>1234302606</v>
      </c>
      <c r="G68" s="262"/>
    </row>
    <row r="69" spans="1:7" s="124" customFormat="1" ht="21.75" customHeight="1">
      <c r="A69" s="248" t="s">
        <v>266</v>
      </c>
      <c r="B69" s="249"/>
      <c r="C69" s="250"/>
      <c r="D69" s="246">
        <v>124787650</v>
      </c>
      <c r="E69" s="262"/>
      <c r="F69" s="246">
        <v>125297646</v>
      </c>
      <c r="G69" s="262"/>
    </row>
    <row r="70" spans="1:7" s="102" customFormat="1" ht="21.75" customHeight="1">
      <c r="A70" s="251" t="s">
        <v>238</v>
      </c>
      <c r="B70" s="252"/>
      <c r="C70" s="125"/>
      <c r="D70" s="191">
        <f>SUM(D68:E69)</f>
        <v>1628239785</v>
      </c>
      <c r="E70" s="191"/>
      <c r="F70" s="191">
        <f>SUM(F68:G69)</f>
        <v>1359600252</v>
      </c>
      <c r="G70" s="191"/>
    </row>
    <row r="71" spans="1:7" s="102" customFormat="1" ht="0.75" customHeight="1">
      <c r="A71" s="126"/>
      <c r="B71" s="126"/>
      <c r="C71" s="127"/>
      <c r="D71" s="128"/>
      <c r="E71" s="128"/>
      <c r="F71" s="128"/>
      <c r="G71" s="128"/>
    </row>
    <row r="72" spans="1:3" ht="24.75" customHeight="1">
      <c r="A72" s="229" t="s">
        <v>267</v>
      </c>
      <c r="B72" s="229"/>
      <c r="C72" s="229"/>
    </row>
    <row r="73" spans="1:7" s="102" customFormat="1" ht="49.5" customHeight="1">
      <c r="A73" s="67" t="s">
        <v>268</v>
      </c>
      <c r="B73" s="67" t="s">
        <v>269</v>
      </c>
      <c r="C73" s="67" t="s">
        <v>270</v>
      </c>
      <c r="D73" s="67" t="s">
        <v>271</v>
      </c>
      <c r="E73" s="67" t="s">
        <v>272</v>
      </c>
      <c r="F73" s="67" t="s">
        <v>273</v>
      </c>
      <c r="G73" s="67" t="s">
        <v>274</v>
      </c>
    </row>
    <row r="74" spans="1:7" ht="19.5" customHeight="1">
      <c r="A74" s="254" t="s">
        <v>275</v>
      </c>
      <c r="B74" s="255"/>
      <c r="C74" s="255"/>
      <c r="D74" s="256"/>
      <c r="E74" s="129"/>
      <c r="F74" s="129"/>
      <c r="G74" s="129"/>
    </row>
    <row r="75" spans="1:7" s="102" customFormat="1" ht="36" customHeight="1">
      <c r="A75" s="130" t="s">
        <v>276</v>
      </c>
      <c r="B75" s="131">
        <v>13322142954</v>
      </c>
      <c r="C75" s="132">
        <v>27635481213</v>
      </c>
      <c r="D75" s="132">
        <v>5302774932</v>
      </c>
      <c r="E75" s="132">
        <v>739237526</v>
      </c>
      <c r="F75" s="133">
        <v>1174822552</v>
      </c>
      <c r="G75" s="133">
        <f>SUM(B75:F75)</f>
        <v>48174459177</v>
      </c>
    </row>
    <row r="76" spans="1:7" s="124" customFormat="1" ht="36" customHeight="1">
      <c r="A76" s="134" t="s">
        <v>277</v>
      </c>
      <c r="C76" s="135"/>
      <c r="D76" s="135"/>
      <c r="E76" s="136"/>
      <c r="F76" s="135"/>
      <c r="G76" s="135">
        <f>SUM(B76:F76)</f>
        <v>0</v>
      </c>
    </row>
    <row r="77" spans="1:7" s="124" customFormat="1" ht="45" customHeight="1">
      <c r="A77" s="134" t="s">
        <v>278</v>
      </c>
      <c r="B77" s="137"/>
      <c r="C77" s="135"/>
      <c r="D77" s="135"/>
      <c r="E77" s="135"/>
      <c r="F77" s="135"/>
      <c r="G77" s="135">
        <f>SUM(B77:F77)</f>
        <v>0</v>
      </c>
    </row>
    <row r="78" spans="1:7" s="124" customFormat="1" ht="36" customHeight="1">
      <c r="A78" s="134" t="s">
        <v>279</v>
      </c>
      <c r="B78" s="137"/>
      <c r="C78" s="135">
        <v>1074042062</v>
      </c>
      <c r="D78" s="135"/>
      <c r="E78" s="135"/>
      <c r="F78" s="135"/>
      <c r="G78" s="135">
        <f>SUM(B78:F78)</f>
        <v>1074042062</v>
      </c>
    </row>
    <row r="79" spans="1:7" s="124" customFormat="1" ht="36" customHeight="1">
      <c r="A79" s="134" t="s">
        <v>280</v>
      </c>
      <c r="B79" s="86"/>
      <c r="C79" s="135">
        <f>C78</f>
        <v>1074042062</v>
      </c>
      <c r="D79" s="135"/>
      <c r="E79" s="135"/>
      <c r="F79" s="135"/>
      <c r="G79" s="135">
        <f>SUM(B79:F79)</f>
        <v>1074042062</v>
      </c>
    </row>
    <row r="80" spans="1:7" s="102" customFormat="1" ht="36" customHeight="1">
      <c r="A80" s="130" t="s">
        <v>281</v>
      </c>
      <c r="B80" s="138">
        <f>B75</f>
        <v>13322142954</v>
      </c>
      <c r="C80" s="138">
        <f>C75+C78-C79</f>
        <v>27635481213</v>
      </c>
      <c r="D80" s="138">
        <f>D75+D78-D79</f>
        <v>5302774932</v>
      </c>
      <c r="E80" s="138">
        <f>E75+E78-E79</f>
        <v>739237526</v>
      </c>
      <c r="F80" s="138">
        <f>F75+F78-F79</f>
        <v>1174822552</v>
      </c>
      <c r="G80" s="138">
        <f>G75+G78-G79</f>
        <v>48174459177</v>
      </c>
    </row>
    <row r="81" spans="1:7" s="102" customFormat="1" ht="19.5" customHeight="1">
      <c r="A81" s="259" t="s">
        <v>282</v>
      </c>
      <c r="B81" s="260"/>
      <c r="C81" s="261"/>
      <c r="D81" s="133"/>
      <c r="E81" s="133"/>
      <c r="F81" s="133"/>
      <c r="G81" s="133"/>
    </row>
    <row r="82" spans="1:7" s="102" customFormat="1" ht="36" customHeight="1">
      <c r="A82" s="130" t="s">
        <v>283</v>
      </c>
      <c r="B82" s="133">
        <v>7315472366</v>
      </c>
      <c r="C82" s="133">
        <v>13102223357</v>
      </c>
      <c r="D82" s="132">
        <v>2488569752</v>
      </c>
      <c r="E82" s="132">
        <v>384474135</v>
      </c>
      <c r="F82" s="133">
        <v>925444527</v>
      </c>
      <c r="G82" s="133">
        <f>SUM(B82:F82)</f>
        <v>24216184137</v>
      </c>
    </row>
    <row r="83" spans="1:7" s="124" customFormat="1" ht="36" customHeight="1">
      <c r="A83" s="134" t="s">
        <v>284</v>
      </c>
      <c r="B83" s="135">
        <f>73729291+29418750+10412256+12625968+80991263+132955372+42422143</f>
        <v>382555043</v>
      </c>
      <c r="C83" s="135">
        <f>43385+49846807+151789542+14175585+340908325+53576612+313116700+57480843</f>
        <v>980937799</v>
      </c>
      <c r="D83" s="135">
        <f>85018875+7978932+35767471+5462319+38260000+24256720+9000000</f>
        <v>205744317</v>
      </c>
      <c r="E83" s="135">
        <f>9024106+1604193+5223318-2416668+833334+2975001+1750000+3582251+3341280</f>
        <v>25916815</v>
      </c>
      <c r="F83" s="135">
        <f>6912778+4850000</f>
        <v>11762778</v>
      </c>
      <c r="G83" s="135">
        <f>SUM(B83:F83)</f>
        <v>1606916752</v>
      </c>
    </row>
    <row r="84" spans="1:7" s="124" customFormat="1" ht="36" customHeight="1">
      <c r="A84" s="134" t="s">
        <v>279</v>
      </c>
      <c r="B84" s="135"/>
      <c r="C84" s="135"/>
      <c r="D84" s="135"/>
      <c r="E84" s="135"/>
      <c r="F84" s="135"/>
      <c r="G84" s="135">
        <f>SUM(B84:F84)</f>
        <v>0</v>
      </c>
    </row>
    <row r="85" spans="1:7" s="124" customFormat="1" ht="36" customHeight="1">
      <c r="A85" s="134" t="s">
        <v>280</v>
      </c>
      <c r="B85" s="135"/>
      <c r="C85" s="135"/>
      <c r="D85" s="135"/>
      <c r="E85" s="135"/>
      <c r="F85" s="135"/>
      <c r="G85" s="135">
        <f>SUM(B85:F85)</f>
        <v>0</v>
      </c>
    </row>
    <row r="86" spans="1:7" s="102" customFormat="1" ht="36" customHeight="1">
      <c r="A86" s="130" t="s">
        <v>285</v>
      </c>
      <c r="B86" s="133">
        <f>B82+B83</f>
        <v>7698027409</v>
      </c>
      <c r="C86" s="133">
        <f>C82+C83</f>
        <v>14083161156</v>
      </c>
      <c r="D86" s="133">
        <f>D82+D83</f>
        <v>2694314069</v>
      </c>
      <c r="E86" s="133">
        <f>E82+E83</f>
        <v>410390950</v>
      </c>
      <c r="F86" s="133">
        <f>F82+F83</f>
        <v>937207305</v>
      </c>
      <c r="G86" s="133">
        <f>SUM(B86:F86)</f>
        <v>25823100889</v>
      </c>
    </row>
    <row r="87" spans="1:7" s="102" customFormat="1" ht="36" customHeight="1">
      <c r="A87" s="130" t="s">
        <v>286</v>
      </c>
      <c r="B87" s="133">
        <f aca="true" t="shared" si="0" ref="B87:G87">B75-B82</f>
        <v>6006670588</v>
      </c>
      <c r="C87" s="133">
        <f t="shared" si="0"/>
        <v>14533257856</v>
      </c>
      <c r="D87" s="133">
        <f t="shared" si="0"/>
        <v>2814205180</v>
      </c>
      <c r="E87" s="133">
        <f t="shared" si="0"/>
        <v>354763391</v>
      </c>
      <c r="F87" s="133">
        <f t="shared" si="0"/>
        <v>249378025</v>
      </c>
      <c r="G87" s="133">
        <f t="shared" si="0"/>
        <v>23958275040</v>
      </c>
    </row>
    <row r="88" spans="1:7" s="102" customFormat="1" ht="36" customHeight="1">
      <c r="A88" s="140" t="s">
        <v>287</v>
      </c>
      <c r="B88" s="141">
        <f aca="true" t="shared" si="1" ref="B88:G88">B80-B86</f>
        <v>5624115545</v>
      </c>
      <c r="C88" s="141">
        <f t="shared" si="1"/>
        <v>13552320057</v>
      </c>
      <c r="D88" s="141">
        <f t="shared" si="1"/>
        <v>2608460863</v>
      </c>
      <c r="E88" s="141">
        <f t="shared" si="1"/>
        <v>328846576</v>
      </c>
      <c r="F88" s="141">
        <f t="shared" si="1"/>
        <v>237615247</v>
      </c>
      <c r="G88" s="141">
        <f t="shared" si="1"/>
        <v>22351358288</v>
      </c>
    </row>
    <row r="89" spans="1:7" ht="21.75" customHeight="1">
      <c r="A89" s="292" t="s">
        <v>288</v>
      </c>
      <c r="B89" s="292"/>
      <c r="C89" s="292"/>
      <c r="D89" s="292"/>
      <c r="E89" s="292"/>
      <c r="F89" s="292"/>
      <c r="G89" s="292"/>
    </row>
    <row r="90" spans="1:7" ht="21.75" customHeight="1">
      <c r="A90" s="142"/>
      <c r="B90" s="143">
        <f>537980535+2526550960+253728810+685104450+309480026+762283963+512020663</f>
        <v>5587149407</v>
      </c>
      <c r="C90" s="143">
        <f>1210777224+491409000+549866355+250263300+1587302</f>
        <v>2503903181</v>
      </c>
      <c r="D90" s="143">
        <f>260985969+163361550</f>
        <v>424347519</v>
      </c>
      <c r="E90" s="143">
        <f>349448178+30333766</f>
        <v>379781944</v>
      </c>
      <c r="F90" s="143">
        <v>21630000</v>
      </c>
      <c r="G90" s="144">
        <f>SUM(B90:E90)</f>
        <v>8895182051</v>
      </c>
    </row>
    <row r="91" spans="1:7" ht="33.75" customHeight="1">
      <c r="A91" s="229" t="s">
        <v>289</v>
      </c>
      <c r="B91" s="229"/>
      <c r="C91" s="229"/>
      <c r="D91" s="229"/>
      <c r="E91" s="145"/>
      <c r="F91" s="145"/>
      <c r="G91" s="145"/>
    </row>
    <row r="92" spans="1:7" s="124" customFormat="1" ht="21" customHeight="1">
      <c r="A92" s="284" t="s">
        <v>268</v>
      </c>
      <c r="B92" s="285"/>
      <c r="C92" s="285" t="s">
        <v>290</v>
      </c>
      <c r="D92" s="286"/>
      <c r="E92" s="287" t="s">
        <v>291</v>
      </c>
      <c r="F92" s="288"/>
      <c r="G92" s="146" t="s">
        <v>274</v>
      </c>
    </row>
    <row r="93" spans="1:7" s="102" customFormat="1" ht="21" customHeight="1">
      <c r="A93" s="289" t="s">
        <v>276</v>
      </c>
      <c r="B93" s="290"/>
      <c r="C93" s="291">
        <v>1050354128</v>
      </c>
      <c r="D93" s="266"/>
      <c r="E93" s="291">
        <v>58000000</v>
      </c>
      <c r="F93" s="266"/>
      <c r="G93" s="133">
        <f>SUM(B93:F93)</f>
        <v>1108354128</v>
      </c>
    </row>
    <row r="94" spans="1:7" s="124" customFormat="1" ht="21" customHeight="1">
      <c r="A94" s="248" t="s">
        <v>292</v>
      </c>
      <c r="B94" s="249"/>
      <c r="C94" s="148"/>
      <c r="D94" s="149"/>
      <c r="E94" s="246"/>
      <c r="F94" s="262"/>
      <c r="G94" s="135">
        <f>SUM(B94:F94)</f>
        <v>0</v>
      </c>
    </row>
    <row r="95" spans="1:7" s="124" customFormat="1" ht="21" customHeight="1">
      <c r="A95" s="248" t="s">
        <v>293</v>
      </c>
      <c r="B95" s="249"/>
      <c r="C95" s="148"/>
      <c r="D95" s="149"/>
      <c r="E95" s="150"/>
      <c r="F95" s="149"/>
      <c r="G95" s="135">
        <f>SUM(B95:F95)</f>
        <v>0</v>
      </c>
    </row>
    <row r="96" spans="1:7" s="102" customFormat="1" ht="21" customHeight="1">
      <c r="A96" s="279" t="s">
        <v>281</v>
      </c>
      <c r="B96" s="280"/>
      <c r="C96" s="281">
        <f>C93+D94</f>
        <v>1050354128</v>
      </c>
      <c r="D96" s="282"/>
      <c r="E96" s="283">
        <f>E93</f>
        <v>58000000</v>
      </c>
      <c r="F96" s="282"/>
      <c r="G96" s="141">
        <f>C96+E96</f>
        <v>1108354128</v>
      </c>
    </row>
    <row r="97" spans="1:7" ht="21" customHeight="1">
      <c r="A97" s="274" t="s">
        <v>282</v>
      </c>
      <c r="B97" s="275"/>
      <c r="C97" s="275"/>
      <c r="D97" s="275"/>
      <c r="E97" s="275"/>
      <c r="F97" s="275"/>
      <c r="G97" s="276"/>
    </row>
    <row r="98" spans="1:7" s="102" customFormat="1" ht="21.75" customHeight="1">
      <c r="A98" s="225" t="s">
        <v>283</v>
      </c>
      <c r="B98" s="225"/>
      <c r="C98" s="225"/>
      <c r="D98" s="151">
        <v>356504663</v>
      </c>
      <c r="E98" s="277">
        <v>11600000</v>
      </c>
      <c r="F98" s="278"/>
      <c r="G98" s="152">
        <f>SUM(B98:F98)</f>
        <v>368104663</v>
      </c>
    </row>
    <row r="99" spans="1:7" s="124" customFormat="1" ht="21.75" customHeight="1">
      <c r="A99" s="185" t="s">
        <v>284</v>
      </c>
      <c r="B99" s="185"/>
      <c r="C99" s="185"/>
      <c r="D99" s="136">
        <f>15812000+15294044</f>
        <v>31106044</v>
      </c>
      <c r="E99" s="246">
        <f>2416667*2+2</f>
        <v>4833336</v>
      </c>
      <c r="F99" s="262"/>
      <c r="G99" s="135">
        <f>SUM(D99:F99)</f>
        <v>35939380</v>
      </c>
    </row>
    <row r="100" spans="1:7" s="102" customFormat="1" ht="21.75" customHeight="1">
      <c r="A100" s="273" t="s">
        <v>285</v>
      </c>
      <c r="B100" s="273"/>
      <c r="C100" s="273"/>
      <c r="D100" s="132">
        <f>D98+D99</f>
        <v>387610707</v>
      </c>
      <c r="E100" s="265">
        <f>E98+E99</f>
        <v>16433336</v>
      </c>
      <c r="F100" s="266"/>
      <c r="G100" s="133">
        <f>SUM(D100:F100)</f>
        <v>404044043</v>
      </c>
    </row>
    <row r="101" spans="1:7" s="102" customFormat="1" ht="21.75" customHeight="1">
      <c r="A101" s="273" t="s">
        <v>286</v>
      </c>
      <c r="B101" s="273"/>
      <c r="C101" s="273"/>
      <c r="D101" s="132">
        <f>C93-D98</f>
        <v>693849465</v>
      </c>
      <c r="E101" s="265">
        <f>E93-E98</f>
        <v>46400000</v>
      </c>
      <c r="F101" s="266"/>
      <c r="G101" s="133">
        <f>SUM(D101:F101)</f>
        <v>740249465</v>
      </c>
    </row>
    <row r="102" spans="1:7" s="102" customFormat="1" ht="21.75" customHeight="1">
      <c r="A102" s="272" t="s">
        <v>287</v>
      </c>
      <c r="B102" s="272"/>
      <c r="C102" s="272"/>
      <c r="D102" s="113">
        <f>C96-D100</f>
        <v>662743421</v>
      </c>
      <c r="E102" s="237">
        <f>E96-E100</f>
        <v>41566664</v>
      </c>
      <c r="F102" s="253"/>
      <c r="G102" s="141">
        <f>SUM(D102:F102)</f>
        <v>704310085</v>
      </c>
    </row>
    <row r="103" spans="1:7" s="102" customFormat="1" ht="21.75" customHeight="1">
      <c r="A103" s="154"/>
      <c r="B103" s="155"/>
      <c r="C103" s="128"/>
      <c r="D103" s="128"/>
      <c r="E103" s="156"/>
      <c r="F103" s="156"/>
      <c r="G103" s="157"/>
    </row>
    <row r="104" spans="1:7" s="124" customFormat="1" ht="22.5" customHeight="1">
      <c r="A104" s="254" t="s">
        <v>294</v>
      </c>
      <c r="B104" s="255"/>
      <c r="C104" s="256"/>
      <c r="D104" s="257" t="s">
        <v>7</v>
      </c>
      <c r="E104" s="267"/>
      <c r="F104" s="257" t="s">
        <v>197</v>
      </c>
      <c r="G104" s="267"/>
    </row>
    <row r="105" spans="1:7" s="124" customFormat="1" ht="22.5" customHeight="1">
      <c r="A105" s="248" t="s">
        <v>295</v>
      </c>
      <c r="B105" s="249"/>
      <c r="C105" s="250"/>
      <c r="D105" s="246">
        <f>SUM(D106:E113)</f>
        <v>26426714604</v>
      </c>
      <c r="E105" s="262"/>
      <c r="F105" s="246">
        <v>21333321841</v>
      </c>
      <c r="G105" s="262"/>
    </row>
    <row r="106" spans="1:7" s="124" customFormat="1" ht="22.5" customHeight="1">
      <c r="A106" s="119" t="s">
        <v>296</v>
      </c>
      <c r="B106" s="120"/>
      <c r="C106" s="121"/>
      <c r="D106" s="122"/>
      <c r="E106" s="123"/>
      <c r="F106" s="122"/>
      <c r="G106" s="123"/>
    </row>
    <row r="107" spans="1:7" s="124" customFormat="1" ht="22.5" customHeight="1">
      <c r="A107" s="248" t="s">
        <v>297</v>
      </c>
      <c r="B107" s="249"/>
      <c r="C107" s="250"/>
      <c r="D107" s="246">
        <f>12960507029+7193760563</f>
        <v>20154267592</v>
      </c>
      <c r="E107" s="262"/>
      <c r="F107" s="246">
        <v>15436749973</v>
      </c>
      <c r="G107" s="262"/>
    </row>
    <row r="108" spans="1:7" s="124" customFormat="1" ht="22.5" customHeight="1">
      <c r="A108" s="248" t="s">
        <v>298</v>
      </c>
      <c r="B108" s="249"/>
      <c r="C108" s="250"/>
      <c r="D108" s="246">
        <v>2164867623</v>
      </c>
      <c r="E108" s="262"/>
      <c r="F108" s="122"/>
      <c r="G108" s="123">
        <v>2156357623</v>
      </c>
    </row>
    <row r="109" spans="1:7" s="124" customFormat="1" ht="22.5" customHeight="1">
      <c r="A109" s="248" t="s">
        <v>299</v>
      </c>
      <c r="B109" s="249"/>
      <c r="C109" s="250"/>
      <c r="D109" s="246">
        <v>1899142020</v>
      </c>
      <c r="E109" s="262"/>
      <c r="F109" s="122"/>
      <c r="G109" s="123">
        <v>1776551293</v>
      </c>
    </row>
    <row r="110" spans="1:7" s="124" customFormat="1" ht="22.5" customHeight="1">
      <c r="A110" s="248" t="s">
        <v>300</v>
      </c>
      <c r="B110" s="249"/>
      <c r="C110" s="250"/>
      <c r="D110" s="246">
        <f>25581000+83705614</f>
        <v>109286614</v>
      </c>
      <c r="E110" s="262"/>
      <c r="F110" s="158"/>
      <c r="G110" s="159">
        <v>86182494</v>
      </c>
    </row>
    <row r="111" spans="1:7" s="124" customFormat="1" ht="22.5" customHeight="1">
      <c r="A111" s="248" t="s">
        <v>301</v>
      </c>
      <c r="B111" s="249"/>
      <c r="C111" s="250"/>
      <c r="D111" s="246">
        <f>252892299+405981489+190000000</f>
        <v>848873788</v>
      </c>
      <c r="E111" s="262"/>
      <c r="F111" s="158"/>
      <c r="G111" s="159">
        <v>647251762</v>
      </c>
    </row>
    <row r="112" spans="1:7" s="124" customFormat="1" ht="22.5" customHeight="1">
      <c r="A112" s="186" t="s">
        <v>302</v>
      </c>
      <c r="B112" s="187"/>
      <c r="C112" s="188"/>
      <c r="D112" s="268">
        <f>199799541+36734316</f>
        <v>236533857</v>
      </c>
      <c r="E112" s="269"/>
      <c r="F112" s="158"/>
      <c r="G112" s="159">
        <v>236533857</v>
      </c>
    </row>
    <row r="113" spans="1:7" s="124" customFormat="1" ht="22.5" customHeight="1">
      <c r="A113" s="270" t="s">
        <v>303</v>
      </c>
      <c r="B113" s="270"/>
      <c r="C113" s="270"/>
      <c r="D113" s="271">
        <f>888503890+125239220</f>
        <v>1013743110</v>
      </c>
      <c r="E113" s="271"/>
      <c r="F113" s="160"/>
      <c r="G113" s="161">
        <v>993694840</v>
      </c>
    </row>
    <row r="114" spans="1:7" s="124" customFormat="1" ht="21.75" customHeight="1">
      <c r="A114" s="162"/>
      <c r="B114" s="162"/>
      <c r="C114" s="162"/>
      <c r="D114" s="163"/>
      <c r="E114" s="163"/>
      <c r="F114" s="163"/>
      <c r="G114" s="163"/>
    </row>
    <row r="115" spans="1:7" s="124" customFormat="1" ht="21.75" customHeight="1">
      <c r="A115" s="254" t="s">
        <v>304</v>
      </c>
      <c r="B115" s="255"/>
      <c r="C115" s="256"/>
      <c r="D115" s="257" t="s">
        <v>7</v>
      </c>
      <c r="E115" s="267"/>
      <c r="F115" s="257" t="s">
        <v>305</v>
      </c>
      <c r="G115" s="267"/>
    </row>
    <row r="116" spans="1:7" s="124" customFormat="1" ht="36" customHeight="1">
      <c r="A116" s="248" t="s">
        <v>306</v>
      </c>
      <c r="B116" s="249"/>
      <c r="C116" s="250"/>
      <c r="D116" s="246">
        <v>420000000</v>
      </c>
      <c r="E116" s="262"/>
      <c r="F116" s="246">
        <f>D116</f>
        <v>420000000</v>
      </c>
      <c r="G116" s="262"/>
    </row>
    <row r="117" spans="1:7" s="124" customFormat="1" ht="36" customHeight="1">
      <c r="A117" s="248" t="s">
        <v>307</v>
      </c>
      <c r="B117" s="249"/>
      <c r="C117" s="250"/>
      <c r="D117" s="246">
        <v>3593077072</v>
      </c>
      <c r="E117" s="262"/>
      <c r="F117" s="246">
        <f>D117</f>
        <v>3593077072</v>
      </c>
      <c r="G117" s="262"/>
    </row>
    <row r="118" spans="1:7" s="124" customFormat="1" ht="36" customHeight="1">
      <c r="A118" s="248" t="s">
        <v>308</v>
      </c>
      <c r="B118" s="249"/>
      <c r="C118" s="250"/>
      <c r="D118" s="246">
        <v>447398800</v>
      </c>
      <c r="E118" s="262"/>
      <c r="F118" s="246">
        <v>1260000000</v>
      </c>
      <c r="G118" s="262"/>
    </row>
    <row r="119" spans="1:7" s="124" customFormat="1" ht="21.75" customHeight="1">
      <c r="A119" s="248" t="s">
        <v>309</v>
      </c>
      <c r="B119" s="249"/>
      <c r="C119" s="250"/>
      <c r="D119" s="246">
        <v>500000000</v>
      </c>
      <c r="E119" s="262"/>
      <c r="F119" s="246">
        <v>500000000</v>
      </c>
      <c r="G119" s="262"/>
    </row>
    <row r="120" spans="1:7" s="102" customFormat="1" ht="22.5" customHeight="1">
      <c r="A120" s="263" t="s">
        <v>310</v>
      </c>
      <c r="B120" s="264"/>
      <c r="C120" s="139"/>
      <c r="D120" s="265">
        <f>SUM(D116:E119)</f>
        <v>4960475872</v>
      </c>
      <c r="E120" s="266"/>
      <c r="F120" s="153"/>
      <c r="G120" s="147">
        <f>SUM(F116:G119)</f>
        <v>5773077072</v>
      </c>
    </row>
    <row r="121" spans="1:7" s="102" customFormat="1" ht="22.5" customHeight="1">
      <c r="A121" s="259" t="s">
        <v>311</v>
      </c>
      <c r="B121" s="260"/>
      <c r="C121" s="261"/>
      <c r="D121" s="153"/>
      <c r="E121" s="147"/>
      <c r="F121" s="153"/>
      <c r="G121" s="147"/>
    </row>
    <row r="122" spans="1:7" s="124" customFormat="1" ht="22.5" customHeight="1">
      <c r="A122" s="248" t="s">
        <v>312</v>
      </c>
      <c r="B122" s="249"/>
      <c r="C122" s="250"/>
      <c r="D122" s="246">
        <f>G122-2010674600</f>
        <v>2291153874</v>
      </c>
      <c r="E122" s="262"/>
      <c r="F122" s="122"/>
      <c r="G122" s="123">
        <v>4301828474</v>
      </c>
    </row>
    <row r="123" spans="1:7" s="124" customFormat="1" ht="22.5" customHeight="1">
      <c r="A123" s="248" t="s">
        <v>313</v>
      </c>
      <c r="B123" s="249"/>
      <c r="C123" s="250"/>
      <c r="D123" s="246">
        <f>G123</f>
        <v>1110000000</v>
      </c>
      <c r="E123" s="262"/>
      <c r="F123" s="122"/>
      <c r="G123" s="123">
        <v>1110000000</v>
      </c>
    </row>
    <row r="124" spans="1:7" s="102" customFormat="1" ht="22.5" customHeight="1">
      <c r="A124" s="251" t="s">
        <v>238</v>
      </c>
      <c r="B124" s="252"/>
      <c r="C124" s="164"/>
      <c r="D124" s="237">
        <f>D122+D123</f>
        <v>3401153874</v>
      </c>
      <c r="E124" s="253"/>
      <c r="F124" s="237">
        <f>G122+G123</f>
        <v>5411828474</v>
      </c>
      <c r="G124" s="253"/>
    </row>
    <row r="125" spans="1:8" s="102" customFormat="1" ht="36" customHeight="1">
      <c r="A125" s="254" t="s">
        <v>314</v>
      </c>
      <c r="B125" s="255"/>
      <c r="C125" s="256"/>
      <c r="D125" s="257" t="s">
        <v>7</v>
      </c>
      <c r="E125" s="258"/>
      <c r="F125" s="258" t="s">
        <v>8</v>
      </c>
      <c r="G125" s="258"/>
      <c r="H125" s="177"/>
    </row>
    <row r="126" spans="1:8" ht="21.75" customHeight="1">
      <c r="A126" s="243" t="s">
        <v>315</v>
      </c>
      <c r="B126" s="244"/>
      <c r="C126" s="245"/>
      <c r="D126" s="246">
        <f>165981901-66995367+82378440+113562729+170285117+31866974+102313300+49766783+9900584+200000000</f>
        <v>859060461</v>
      </c>
      <c r="E126" s="247"/>
      <c r="F126" s="247">
        <f>277520219+138025367+85944986+8745482</f>
        <v>510236054</v>
      </c>
      <c r="G126" s="247"/>
      <c r="H126" s="178"/>
    </row>
    <row r="127" spans="1:8" ht="36" customHeight="1">
      <c r="A127" s="248" t="s">
        <v>316</v>
      </c>
      <c r="B127" s="249"/>
      <c r="C127" s="250"/>
      <c r="D127" s="246">
        <f>SUM(D128:E133)</f>
        <v>7540211551</v>
      </c>
      <c r="E127" s="247"/>
      <c r="F127" s="247">
        <f>SUM(F128:G133)</f>
        <v>3989969207</v>
      </c>
      <c r="G127" s="247"/>
      <c r="H127" s="178"/>
    </row>
    <row r="128" spans="1:8" ht="36" customHeight="1">
      <c r="A128" s="239" t="s">
        <v>317</v>
      </c>
      <c r="B128" s="240"/>
      <c r="C128" s="241"/>
      <c r="D128" s="242">
        <v>1676721202</v>
      </c>
      <c r="E128" s="234"/>
      <c r="F128" s="234">
        <f>D128</f>
        <v>1676721202</v>
      </c>
      <c r="G128" s="234"/>
      <c r="H128" s="178"/>
    </row>
    <row r="129" spans="1:8" ht="21.75" customHeight="1">
      <c r="A129" s="239" t="s">
        <v>318</v>
      </c>
      <c r="B129" s="240"/>
      <c r="C129" s="241"/>
      <c r="D129" s="242">
        <f>F129</f>
        <v>250000000</v>
      </c>
      <c r="E129" s="234"/>
      <c r="F129" s="234">
        <v>250000000</v>
      </c>
      <c r="G129" s="234"/>
      <c r="H129" s="178"/>
    </row>
    <row r="130" spans="1:8" ht="21.75" customHeight="1">
      <c r="A130" s="239" t="s">
        <v>319</v>
      </c>
      <c r="B130" s="240"/>
      <c r="C130" s="241"/>
      <c r="D130" s="242">
        <v>1160000000</v>
      </c>
      <c r="E130" s="234"/>
      <c r="F130" s="234">
        <f>D130</f>
        <v>1160000000</v>
      </c>
      <c r="G130" s="234"/>
      <c r="H130" s="178"/>
    </row>
    <row r="131" spans="1:8" ht="21.75" customHeight="1">
      <c r="A131" s="239" t="s">
        <v>320</v>
      </c>
      <c r="B131" s="240"/>
      <c r="C131" s="241"/>
      <c r="D131" s="242">
        <f>F131</f>
        <v>77923901</v>
      </c>
      <c r="E131" s="234"/>
      <c r="F131" s="234">
        <v>77923901</v>
      </c>
      <c r="G131" s="234"/>
      <c r="H131" s="178"/>
    </row>
    <row r="132" spans="1:8" ht="36" customHeight="1">
      <c r="A132" s="239" t="s">
        <v>321</v>
      </c>
      <c r="B132" s="240"/>
      <c r="C132" s="241"/>
      <c r="D132" s="242">
        <v>3613754400</v>
      </c>
      <c r="E132" s="234"/>
      <c r="F132" s="165"/>
      <c r="G132" s="165"/>
      <c r="H132" s="178"/>
    </row>
    <row r="133" spans="1:8" ht="19.5" customHeight="1">
      <c r="A133" s="239" t="s">
        <v>322</v>
      </c>
      <c r="B133" s="240"/>
      <c r="C133" s="241"/>
      <c r="D133" s="242">
        <v>761812048</v>
      </c>
      <c r="E133" s="234"/>
      <c r="F133" s="234">
        <v>825324104</v>
      </c>
      <c r="G133" s="234"/>
      <c r="H133" s="178"/>
    </row>
    <row r="134" spans="1:8" ht="21.75" customHeight="1">
      <c r="A134" s="166"/>
      <c r="B134" s="235" t="s">
        <v>201</v>
      </c>
      <c r="C134" s="236"/>
      <c r="D134" s="237">
        <f>D126+D127</f>
        <v>8399272012</v>
      </c>
      <c r="E134" s="238"/>
      <c r="F134" s="238">
        <f>F126+F127</f>
        <v>4500205261</v>
      </c>
      <c r="G134" s="238"/>
      <c r="H134" s="178"/>
    </row>
    <row r="135" spans="1:7" ht="11.25" customHeight="1">
      <c r="A135" s="127"/>
      <c r="B135" s="156"/>
      <c r="C135" s="156"/>
      <c r="D135" s="128"/>
      <c r="E135" s="128"/>
      <c r="F135" s="128"/>
      <c r="G135" s="128"/>
    </row>
    <row r="136" spans="1:7" s="102" customFormat="1" ht="21.75" customHeight="1">
      <c r="A136" s="229" t="s">
        <v>323</v>
      </c>
      <c r="B136" s="229"/>
      <c r="C136" s="229"/>
      <c r="D136" s="229"/>
      <c r="E136" s="229"/>
      <c r="F136" s="115"/>
      <c r="G136" s="115"/>
    </row>
    <row r="137" spans="1:8" s="102" customFormat="1" ht="21.75" customHeight="1">
      <c r="A137" s="230" t="s">
        <v>324</v>
      </c>
      <c r="B137" s="231"/>
      <c r="C137" s="193" t="s">
        <v>325</v>
      </c>
      <c r="D137" s="183"/>
      <c r="E137" s="184"/>
      <c r="F137" s="193" t="s">
        <v>326</v>
      </c>
      <c r="G137" s="183"/>
      <c r="H137" s="184"/>
    </row>
    <row r="138" spans="1:8" s="102" customFormat="1" ht="21.75" customHeight="1">
      <c r="A138" s="232"/>
      <c r="B138" s="233"/>
      <c r="C138" s="167" t="s">
        <v>327</v>
      </c>
      <c r="D138" s="167" t="s">
        <v>328</v>
      </c>
      <c r="E138" s="167" t="s">
        <v>329</v>
      </c>
      <c r="F138" s="167" t="s">
        <v>327</v>
      </c>
      <c r="G138" s="167" t="s">
        <v>328</v>
      </c>
      <c r="H138" s="167" t="s">
        <v>329</v>
      </c>
    </row>
    <row r="139" spans="1:8" ht="36" customHeight="1">
      <c r="A139" s="227" t="s">
        <v>330</v>
      </c>
      <c r="B139" s="227"/>
      <c r="C139" s="168">
        <v>2248000</v>
      </c>
      <c r="D139" s="168">
        <v>2248000000</v>
      </c>
      <c r="E139" s="169">
        <v>59.97</v>
      </c>
      <c r="F139" s="168">
        <f>C139</f>
        <v>2248000</v>
      </c>
      <c r="G139" s="168">
        <f>D139</f>
        <v>2248000000</v>
      </c>
      <c r="H139" s="169">
        <v>59.97</v>
      </c>
    </row>
    <row r="140" spans="1:8" s="172" customFormat="1" ht="21.75" customHeight="1">
      <c r="A140" s="228" t="s">
        <v>331</v>
      </c>
      <c r="B140" s="228"/>
      <c r="C140" s="170">
        <v>1734000</v>
      </c>
      <c r="D140" s="170">
        <v>17340000000</v>
      </c>
      <c r="E140" s="171">
        <v>46.26</v>
      </c>
      <c r="F140" s="170">
        <f>C140</f>
        <v>1734000</v>
      </c>
      <c r="G140" s="170">
        <f>D140</f>
        <v>17340000000</v>
      </c>
      <c r="H140" s="171">
        <v>46.26</v>
      </c>
    </row>
    <row r="141" spans="1:8" s="172" customFormat="1" ht="36" customHeight="1">
      <c r="A141" s="228" t="s">
        <v>332</v>
      </c>
      <c r="B141" s="228"/>
      <c r="C141" s="170">
        <v>514000</v>
      </c>
      <c r="D141" s="170">
        <v>5140000000</v>
      </c>
      <c r="E141" s="171">
        <v>13.71</v>
      </c>
      <c r="F141" s="170">
        <v>514000</v>
      </c>
      <c r="G141" s="170">
        <v>5140000000</v>
      </c>
      <c r="H141" s="171">
        <v>13.71</v>
      </c>
    </row>
    <row r="142" spans="1:8" ht="19.5" customHeight="1">
      <c r="A142" s="227" t="s">
        <v>333</v>
      </c>
      <c r="B142" s="227"/>
      <c r="C142" s="168">
        <f aca="true" t="shared" si="2" ref="C142:H142">C143-C139</f>
        <v>1500300</v>
      </c>
      <c r="D142" s="168">
        <f t="shared" si="2"/>
        <v>35235000000</v>
      </c>
      <c r="E142" s="169">
        <f t="shared" si="2"/>
        <v>40.03</v>
      </c>
      <c r="F142" s="168">
        <f t="shared" si="2"/>
        <v>1500300</v>
      </c>
      <c r="G142" s="168">
        <f t="shared" si="2"/>
        <v>35235000000</v>
      </c>
      <c r="H142" s="169">
        <f t="shared" si="2"/>
        <v>40.03</v>
      </c>
    </row>
    <row r="143" spans="1:8" s="102" customFormat="1" ht="19.5" customHeight="1">
      <c r="A143" s="224" t="s">
        <v>334</v>
      </c>
      <c r="B143" s="224"/>
      <c r="C143" s="173">
        <v>3748300</v>
      </c>
      <c r="D143" s="173">
        <v>37483000000</v>
      </c>
      <c r="E143" s="174">
        <v>100</v>
      </c>
      <c r="F143" s="173">
        <v>3748300</v>
      </c>
      <c r="G143" s="173">
        <v>37483000000</v>
      </c>
      <c r="H143" s="174">
        <v>100</v>
      </c>
    </row>
    <row r="144" spans="1:7" s="102" customFormat="1" ht="19.5" customHeight="1">
      <c r="A144" s="126"/>
      <c r="B144" s="126"/>
      <c r="C144" s="144"/>
      <c r="D144" s="144"/>
      <c r="E144" s="175"/>
      <c r="F144" s="144"/>
      <c r="G144" s="144"/>
    </row>
    <row r="145" spans="1:7" s="102" customFormat="1" ht="21.75" customHeight="1">
      <c r="A145" s="225" t="s">
        <v>335</v>
      </c>
      <c r="B145" s="225"/>
      <c r="C145" s="225"/>
      <c r="D145" s="225"/>
      <c r="E145" s="226" t="s">
        <v>199</v>
      </c>
      <c r="F145" s="226"/>
      <c r="G145" s="68" t="s">
        <v>200</v>
      </c>
    </row>
    <row r="146" spans="1:7" s="124" customFormat="1" ht="21.75" customHeight="1">
      <c r="A146" s="185" t="s">
        <v>336</v>
      </c>
      <c r="B146" s="185"/>
      <c r="C146" s="185"/>
      <c r="D146" s="185"/>
      <c r="E146" s="220">
        <v>409277357</v>
      </c>
      <c r="F146" s="221"/>
      <c r="G146" s="179">
        <v>515409136</v>
      </c>
    </row>
    <row r="147" spans="1:7" s="124" customFormat="1" ht="21.75" customHeight="1">
      <c r="A147" s="185" t="s">
        <v>337</v>
      </c>
      <c r="B147" s="185"/>
      <c r="C147" s="185"/>
      <c r="D147" s="185"/>
      <c r="E147" s="222" t="s">
        <v>338</v>
      </c>
      <c r="F147" s="223"/>
      <c r="G147" s="180" t="s">
        <v>338</v>
      </c>
    </row>
    <row r="148" spans="1:7" s="124" customFormat="1" ht="21.75" customHeight="1">
      <c r="A148" s="185" t="s">
        <v>339</v>
      </c>
      <c r="B148" s="185"/>
      <c r="C148" s="185"/>
      <c r="D148" s="185"/>
      <c r="E148" s="214">
        <f>E146*0.2</f>
        <v>81855471.4</v>
      </c>
      <c r="F148" s="215"/>
      <c r="G148" s="181">
        <f>G146*0.2</f>
        <v>103081827.2</v>
      </c>
    </row>
    <row r="149" spans="1:7" s="124" customFormat="1" ht="21.75" customHeight="1">
      <c r="A149" s="186" t="s">
        <v>340</v>
      </c>
      <c r="B149" s="187"/>
      <c r="C149" s="187"/>
      <c r="D149" s="188"/>
      <c r="E149" s="189">
        <f>E148/2</f>
        <v>40927735.7</v>
      </c>
      <c r="F149" s="219"/>
      <c r="G149" s="181">
        <f>G148/2</f>
        <v>51540913.6</v>
      </c>
    </row>
    <row r="150" spans="1:7" s="102" customFormat="1" ht="21.75" customHeight="1">
      <c r="A150" s="190" t="s">
        <v>341</v>
      </c>
      <c r="B150" s="190"/>
      <c r="C150" s="190"/>
      <c r="D150" s="190"/>
      <c r="E150" s="191">
        <v>40927736</v>
      </c>
      <c r="F150" s="191"/>
      <c r="G150" s="113">
        <v>51540914</v>
      </c>
    </row>
    <row r="151" spans="1:7" ht="8.25" customHeight="1">
      <c r="A151" s="126"/>
      <c r="B151" s="126"/>
      <c r="C151" s="144"/>
      <c r="D151" s="144"/>
      <c r="E151" s="175"/>
      <c r="F151" s="144"/>
      <c r="G151" s="144"/>
    </row>
    <row r="152" spans="1:7" s="102" customFormat="1" ht="21.75" customHeight="1">
      <c r="A152" s="192" t="s">
        <v>349</v>
      </c>
      <c r="B152" s="192"/>
      <c r="C152" s="192"/>
      <c r="D152" s="192"/>
      <c r="E152" s="192"/>
      <c r="F152" s="192"/>
      <c r="G152" s="192"/>
    </row>
    <row r="153" spans="1:7" s="102" customFormat="1" ht="21.75" customHeight="1">
      <c r="A153" s="195" t="s">
        <v>342</v>
      </c>
      <c r="B153" s="195"/>
      <c r="C153" s="195" t="s">
        <v>343</v>
      </c>
      <c r="D153" s="195"/>
      <c r="E153" s="195"/>
      <c r="F153" s="195" t="s">
        <v>194</v>
      </c>
      <c r="G153" s="195"/>
    </row>
    <row r="154" s="102" customFormat="1" ht="15.75"/>
    <row r="155" spans="3:5" s="102" customFormat="1" ht="15.75">
      <c r="C155" s="108"/>
      <c r="D155" s="108"/>
      <c r="E155" s="176"/>
    </row>
    <row r="156" spans="5:7" s="102" customFormat="1" ht="15.75">
      <c r="E156" s="176"/>
      <c r="F156" s="108"/>
      <c r="G156" s="108"/>
    </row>
    <row r="157" s="102" customFormat="1" ht="15.75"/>
    <row r="158" s="102" customFormat="1" ht="12" customHeight="1"/>
    <row r="159" spans="1:7" s="102" customFormat="1" ht="30" customHeight="1">
      <c r="A159" s="195" t="s">
        <v>344</v>
      </c>
      <c r="B159" s="195"/>
      <c r="C159" s="196" t="s">
        <v>345</v>
      </c>
      <c r="D159" s="196"/>
      <c r="E159" s="196"/>
      <c r="F159" s="195" t="s">
        <v>346</v>
      </c>
      <c r="G159" s="195"/>
    </row>
  </sheetData>
  <mergeCells count="262">
    <mergeCell ref="A1:G1"/>
    <mergeCell ref="A2:G2"/>
    <mergeCell ref="A3:G3"/>
    <mergeCell ref="A4:E4"/>
    <mergeCell ref="A5:G5"/>
    <mergeCell ref="A6:G6"/>
    <mergeCell ref="A7:G7"/>
    <mergeCell ref="A8:G8"/>
    <mergeCell ref="A9:G9"/>
    <mergeCell ref="A10:G10"/>
    <mergeCell ref="A11:E11"/>
    <mergeCell ref="A12:G12"/>
    <mergeCell ref="A13:G13"/>
    <mergeCell ref="A14:E14"/>
    <mergeCell ref="A15:E15"/>
    <mergeCell ref="A16:G16"/>
    <mergeCell ref="A17:G17"/>
    <mergeCell ref="A18:E18"/>
    <mergeCell ref="A19:G19"/>
    <mergeCell ref="A20:G20"/>
    <mergeCell ref="A21:G21"/>
    <mergeCell ref="A22:G22"/>
    <mergeCell ref="A23:E23"/>
    <mergeCell ref="A24:G24"/>
    <mergeCell ref="A25:G25"/>
    <mergeCell ref="A26:E26"/>
    <mergeCell ref="A27:G27"/>
    <mergeCell ref="A28:E28"/>
    <mergeCell ref="A29:G29"/>
    <mergeCell ref="A30:G30"/>
    <mergeCell ref="A31:G31"/>
    <mergeCell ref="A32:G32"/>
    <mergeCell ref="E33:G33"/>
    <mergeCell ref="A34:C34"/>
    <mergeCell ref="D34:E34"/>
    <mergeCell ref="F34:G34"/>
    <mergeCell ref="A35:B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42:C42"/>
    <mergeCell ref="D42:E42"/>
    <mergeCell ref="F42:G42"/>
    <mergeCell ref="A40:C40"/>
    <mergeCell ref="D40:E40"/>
    <mergeCell ref="F40:G40"/>
    <mergeCell ref="A41:C41"/>
    <mergeCell ref="D41:E41"/>
    <mergeCell ref="F41:G41"/>
    <mergeCell ref="A43:C43"/>
    <mergeCell ref="D43:E43"/>
    <mergeCell ref="F43:G43"/>
    <mergeCell ref="A44:C44"/>
    <mergeCell ref="D44:E44"/>
    <mergeCell ref="A45:C45"/>
    <mergeCell ref="D45:E45"/>
    <mergeCell ref="F45:G45"/>
    <mergeCell ref="A46:C46"/>
    <mergeCell ref="D46:E46"/>
    <mergeCell ref="F46:G46"/>
    <mergeCell ref="A47:C47"/>
    <mergeCell ref="D47:E47"/>
    <mergeCell ref="A48:C48"/>
    <mergeCell ref="D48:E48"/>
    <mergeCell ref="A49:B49"/>
    <mergeCell ref="D49:E49"/>
    <mergeCell ref="F49:G49"/>
    <mergeCell ref="A51:B51"/>
    <mergeCell ref="D51:E51"/>
    <mergeCell ref="F51:G51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B58"/>
    <mergeCell ref="D58:E58"/>
    <mergeCell ref="F58:G58"/>
    <mergeCell ref="A59:C59"/>
    <mergeCell ref="D59:E59"/>
    <mergeCell ref="F59:G59"/>
    <mergeCell ref="A60:C60"/>
    <mergeCell ref="D60:E60"/>
    <mergeCell ref="A61:C61"/>
    <mergeCell ref="D61:E61"/>
    <mergeCell ref="A63:C63"/>
    <mergeCell ref="D63:E63"/>
    <mergeCell ref="F63:G63"/>
    <mergeCell ref="A64:C64"/>
    <mergeCell ref="D64:E64"/>
    <mergeCell ref="F64:G64"/>
    <mergeCell ref="A65:B65"/>
    <mergeCell ref="D65:E65"/>
    <mergeCell ref="F65:G65"/>
    <mergeCell ref="A67:C67"/>
    <mergeCell ref="D67:E67"/>
    <mergeCell ref="F67:G67"/>
    <mergeCell ref="D68:E68"/>
    <mergeCell ref="F68:G68"/>
    <mergeCell ref="A69:C69"/>
    <mergeCell ref="D69:E69"/>
    <mergeCell ref="F69:G69"/>
    <mergeCell ref="A70:B70"/>
    <mergeCell ref="D70:E70"/>
    <mergeCell ref="F70:G70"/>
    <mergeCell ref="A72:C72"/>
    <mergeCell ref="A74:D74"/>
    <mergeCell ref="A81:C81"/>
    <mergeCell ref="A89:G89"/>
    <mergeCell ref="A91:D91"/>
    <mergeCell ref="A92:B92"/>
    <mergeCell ref="C92:D92"/>
    <mergeCell ref="E92:F92"/>
    <mergeCell ref="A93:B93"/>
    <mergeCell ref="C93:D93"/>
    <mergeCell ref="E93:F93"/>
    <mergeCell ref="A94:B94"/>
    <mergeCell ref="E94:F94"/>
    <mergeCell ref="A95:B95"/>
    <mergeCell ref="A96:B96"/>
    <mergeCell ref="C96:D96"/>
    <mergeCell ref="E96:F96"/>
    <mergeCell ref="A97:G97"/>
    <mergeCell ref="A98:C98"/>
    <mergeCell ref="E98:F98"/>
    <mergeCell ref="A99:C99"/>
    <mergeCell ref="E99:F99"/>
    <mergeCell ref="A100:C100"/>
    <mergeCell ref="E100:F100"/>
    <mergeCell ref="A101:C101"/>
    <mergeCell ref="E101:F101"/>
    <mergeCell ref="A102:C102"/>
    <mergeCell ref="E102:F102"/>
    <mergeCell ref="A104:C104"/>
    <mergeCell ref="D104:E104"/>
    <mergeCell ref="F104:G104"/>
    <mergeCell ref="A105:C105"/>
    <mergeCell ref="D105:E105"/>
    <mergeCell ref="F105:G105"/>
    <mergeCell ref="A107:C107"/>
    <mergeCell ref="D107:E107"/>
    <mergeCell ref="F107:G107"/>
    <mergeCell ref="A108:C108"/>
    <mergeCell ref="D108:E108"/>
    <mergeCell ref="A109:C109"/>
    <mergeCell ref="D109:E109"/>
    <mergeCell ref="A110:C110"/>
    <mergeCell ref="D110:E110"/>
    <mergeCell ref="A111:C111"/>
    <mergeCell ref="D111:E111"/>
    <mergeCell ref="A112:C112"/>
    <mergeCell ref="D112:E112"/>
    <mergeCell ref="A113:C113"/>
    <mergeCell ref="D113:E113"/>
    <mergeCell ref="A115:C115"/>
    <mergeCell ref="D115:E115"/>
    <mergeCell ref="F115:G115"/>
    <mergeCell ref="A116:C116"/>
    <mergeCell ref="D116:E116"/>
    <mergeCell ref="F116:G116"/>
    <mergeCell ref="A117:C117"/>
    <mergeCell ref="D117:E117"/>
    <mergeCell ref="F117:G117"/>
    <mergeCell ref="A118:C118"/>
    <mergeCell ref="D118:E118"/>
    <mergeCell ref="F118:G118"/>
    <mergeCell ref="A119:C119"/>
    <mergeCell ref="D119:E119"/>
    <mergeCell ref="F119:G119"/>
    <mergeCell ref="A120:B120"/>
    <mergeCell ref="D120:E120"/>
    <mergeCell ref="A121:C121"/>
    <mergeCell ref="A122:C122"/>
    <mergeCell ref="D122:E122"/>
    <mergeCell ref="A123:C123"/>
    <mergeCell ref="D123:E123"/>
    <mergeCell ref="A124:B124"/>
    <mergeCell ref="D124:E124"/>
    <mergeCell ref="F124:G124"/>
    <mergeCell ref="A125:C125"/>
    <mergeCell ref="D125:E125"/>
    <mergeCell ref="F125:G125"/>
    <mergeCell ref="A126:C126"/>
    <mergeCell ref="D126:E126"/>
    <mergeCell ref="F126:G126"/>
    <mergeCell ref="A127:C127"/>
    <mergeCell ref="D127:E127"/>
    <mergeCell ref="F127:G127"/>
    <mergeCell ref="A128:C128"/>
    <mergeCell ref="D128:E128"/>
    <mergeCell ref="F128:G128"/>
    <mergeCell ref="A129:C129"/>
    <mergeCell ref="D129:E129"/>
    <mergeCell ref="F129:G129"/>
    <mergeCell ref="A130:C130"/>
    <mergeCell ref="D130:E130"/>
    <mergeCell ref="F130:G130"/>
    <mergeCell ref="A131:C131"/>
    <mergeCell ref="D131:E131"/>
    <mergeCell ref="F131:G131"/>
    <mergeCell ref="A132:C132"/>
    <mergeCell ref="D132:E132"/>
    <mergeCell ref="A133:C133"/>
    <mergeCell ref="D133:E133"/>
    <mergeCell ref="A136:E136"/>
    <mergeCell ref="A137:B138"/>
    <mergeCell ref="C137:E137"/>
    <mergeCell ref="F133:G133"/>
    <mergeCell ref="B134:C134"/>
    <mergeCell ref="D134:E134"/>
    <mergeCell ref="F134:G134"/>
    <mergeCell ref="A139:B139"/>
    <mergeCell ref="A140:B140"/>
    <mergeCell ref="A141:B141"/>
    <mergeCell ref="A142:B142"/>
    <mergeCell ref="E146:F146"/>
    <mergeCell ref="A147:D147"/>
    <mergeCell ref="E147:F147"/>
    <mergeCell ref="A143:B143"/>
    <mergeCell ref="A145:D145"/>
    <mergeCell ref="E145:F145"/>
    <mergeCell ref="A150:D150"/>
    <mergeCell ref="E150:F150"/>
    <mergeCell ref="A152:G152"/>
    <mergeCell ref="F44:G44"/>
    <mergeCell ref="F137:H137"/>
    <mergeCell ref="A148:D148"/>
    <mergeCell ref="E148:F148"/>
    <mergeCell ref="A149:D149"/>
    <mergeCell ref="E149:F149"/>
    <mergeCell ref="A146:D146"/>
    <mergeCell ref="A153:B153"/>
    <mergeCell ref="C153:E153"/>
    <mergeCell ref="F153:G153"/>
    <mergeCell ref="A159:B159"/>
    <mergeCell ref="C159:E159"/>
    <mergeCell ref="F159:G159"/>
    <mergeCell ref="F47:G47"/>
    <mergeCell ref="F48:G48"/>
    <mergeCell ref="F60:G60"/>
    <mergeCell ref="F61:G6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Yen</cp:lastModifiedBy>
  <dcterms:created xsi:type="dcterms:W3CDTF">2008-09-15T20:40:02Z</dcterms:created>
  <dcterms:modified xsi:type="dcterms:W3CDTF">2008-09-22T13:24:43Z</dcterms:modified>
  <cp:category/>
  <cp:version/>
  <cp:contentType/>
  <cp:contentStatus/>
</cp:coreProperties>
</file>